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2.xml" ContentType="application/vnd.ms-excel.controlproperties+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drawings/drawing8.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9.xml" ContentType="application/vnd.openxmlformats-officedocument.drawingml.chartshapes+xml"/>
  <Override PartName="/xl/charts/chart16.xml" ContentType="application/vnd.openxmlformats-officedocument.drawingml.chart+xml"/>
  <Override PartName="/xl/drawings/drawing10.xml" ContentType="application/vnd.openxmlformats-officedocument.drawingml.chartshapes+xml"/>
  <Override PartName="/xl/charts/chart17.xml" ContentType="application/vnd.openxmlformats-officedocument.drawingml.chart+xml"/>
  <Override PartName="/xl/drawings/drawing11.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2.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showInkAnnotation="0" codeName="ThisWorkbook" autoCompressPictures="0"/>
  <mc:AlternateContent xmlns:mc="http://schemas.openxmlformats.org/markup-compatibility/2006">
    <mc:Choice Requires="x15">
      <x15ac:absPath xmlns:x15ac="http://schemas.microsoft.com/office/spreadsheetml/2010/11/ac" url="C:\Users\Jahoda\Downloads\"/>
    </mc:Choice>
  </mc:AlternateContent>
  <xr:revisionPtr revIDLastSave="0" documentId="13_ncr:1_{2053CED5-44BA-414A-826A-5235A3F866D1}" xr6:coauthVersionLast="45" xr6:coauthVersionMax="45" xr10:uidLastSave="{00000000-0000-0000-0000-000000000000}"/>
  <workbookProtection workbookPassword="CCC8" lockStructure="1"/>
  <bookViews>
    <workbookView xWindow="-108" yWindow="492" windowWidth="23256" windowHeight="12576" tabRatio="420" xr2:uid="{00000000-000D-0000-FFFF-FFFF00000000}"/>
  </bookViews>
  <sheets>
    <sheet name="Design Converter" sheetId="1" r:id="rId1"/>
    <sheet name="BOM &amp; Schematic" sheetId="16" r:id="rId2"/>
    <sheet name="EVMs" sheetId="14" r:id="rId3"/>
    <sheet name="Variable Mgmt" sheetId="2" state="hidden" r:id="rId4"/>
    <sheet name="Calculations - Single" sheetId="24" state="hidden" r:id="rId5"/>
    <sheet name="Calculations - Dual" sheetId="25" state="hidden" r:id="rId6"/>
    <sheet name="Fsw vs VIN" sheetId="23" state="hidden" r:id="rId7"/>
    <sheet name="Parameters" sheetId="19" state="hidden" r:id="rId8"/>
    <sheet name="Efficiency Plots" sheetId="22" state="hidden" r:id="rId9"/>
    <sheet name="Fsw Plots" sheetId="28" state="hidden" r:id="rId10"/>
    <sheet name="Schematic Mgmt" sheetId="21" state="hidden" r:id="rId11"/>
    <sheet name="Standard Value Calculator" sheetId="8" state="hidden" r:id="rId12"/>
  </sheets>
  <definedNames>
    <definedName name="_Don1">'Variable Mgmt'!$B$60</definedName>
    <definedName name="BDserR">Parameters!$D$48</definedName>
    <definedName name="Cb">'Variable Mgmt'!$B$154</definedName>
    <definedName name="Cin" localSheetId="7">Parameters!$D$30</definedName>
    <definedName name="Cin">'Variable Mgmt'!$B$120</definedName>
    <definedName name="CinEsrMax">'Variable Mgmt'!$B$122</definedName>
    <definedName name="Cinmin">'Variable Mgmt'!$B$118</definedName>
    <definedName name="CONFIG">'Variable Mgmt'!$C$52</definedName>
    <definedName name="Coss">Parameters!$D$43</definedName>
    <definedName name="Cout" localSheetId="7">Parameters!$D$32</definedName>
    <definedName name="Cout">'Variable Mgmt'!$B$95</definedName>
    <definedName name="Cout_Voltage_Rating">'Variable Mgmt'!$S$53</definedName>
    <definedName name="Cout2">'Variable Mgmt'!$B$105</definedName>
    <definedName name="CoutEsr">'Variable Mgmt'!$B$97</definedName>
    <definedName name="CoutEsr2">'Variable Mgmt'!$B$107</definedName>
    <definedName name="Css">'Variable Mgmt'!$B$134</definedName>
    <definedName name="Css_u">'Variable Mgmt'!$B$135</definedName>
    <definedName name="Csw">Parameters!$D$44</definedName>
    <definedName name="Diode_TC">'Variable Mgmt'!$B$165</definedName>
    <definedName name="Don_Vinmax">'Variable Mgmt'!$B$63</definedName>
    <definedName name="Don_Vinmin">'Variable Mgmt'!$B$61</definedName>
    <definedName name="Don_Vinnom">'Variable Mgmt'!$B$62</definedName>
    <definedName name="EFF_DUAL">'Efficiency Plots'!$B$7</definedName>
    <definedName name="EFF_SINGLE">'Efficiency Plots'!$B$5</definedName>
    <definedName name="Efficiency">'Variable Mgmt'!$B$33</definedName>
    <definedName name="Fsw" localSheetId="7">Parameters!$D$20</definedName>
    <definedName name="Fsw_DCM">'Variable Mgmt'!$B$39</definedName>
    <definedName name="Fsw_DUAL">'Fsw Plots'!$B$7</definedName>
    <definedName name="Fsw_max">Parameters!$D$21</definedName>
    <definedName name="Fsw_SINGLE">'Fsw Plots'!$B$5</definedName>
    <definedName name="Icinrms">'Variable Mgmt'!$B$117</definedName>
    <definedName name="Icoutrms">'Variable Mgmt'!$B$89</definedName>
    <definedName name="Iin_Vinmax">'Variable Mgmt'!$B$37</definedName>
    <definedName name="Iin_Vinmin">'Variable Mgmt'!$B$35</definedName>
    <definedName name="Iin_Vinnom">'Variable Mgmt'!$B$36</definedName>
    <definedName name="Iout">'Variable Mgmt'!$B$12</definedName>
    <definedName name="Iout_max">Parameters!$D$10</definedName>
    <definedName name="Iout2">'Variable Mgmt'!$B$18</definedName>
    <definedName name="Iout2_actual">'Variable Mgmt'!$B$19</definedName>
    <definedName name="Ioutmax_Vinmax" localSheetId="5">'Calculations - Dual'!$Q$216</definedName>
    <definedName name="Ioutmax_Vinmax">'Calculations - Single'!$P$216</definedName>
    <definedName name="Ioutmax_Vinmin" localSheetId="5">'Calculations - Dual'!$Q$110</definedName>
    <definedName name="Ioutmax_Vinmin">'Calculations - Single'!$P$110</definedName>
    <definedName name="Ioutmax_Vinnom" localSheetId="5">'Calculations - Dual'!$Q$5</definedName>
    <definedName name="Ioutmax_Vinnom">'Calculations - Single'!$P$5</definedName>
    <definedName name="IQ">Parameters!$D$38</definedName>
    <definedName name="Iripple">Parameters!$D$19</definedName>
    <definedName name="Iripple_Vinmax" localSheetId="5">'Variable Mgmt'!#REF!</definedName>
    <definedName name="Iripple_Vinmax" localSheetId="9">'Variable Mgmt'!#REF!</definedName>
    <definedName name="Iripple_Vinmax">'Variable Mgmt'!#REF!</definedName>
    <definedName name="Iripple_Vinmin" localSheetId="5">'Variable Mgmt'!#REF!</definedName>
    <definedName name="Iripple_Vinmin" localSheetId="9">'Variable Mgmt'!#REF!</definedName>
    <definedName name="Iripple_Vinmin">'Variable Mgmt'!#REF!</definedName>
    <definedName name="Iripple_Vinnom" localSheetId="5">'Variable Mgmt'!#REF!</definedName>
    <definedName name="Iripple_Vinnom" localSheetId="9">'Variable Mgmt'!#REF!</definedName>
    <definedName name="Iripple_Vinnom">'Variable Mgmt'!#REF!</definedName>
    <definedName name="Iripple1" localSheetId="5">'Variable Mgmt'!#REF!</definedName>
    <definedName name="Iripple1" localSheetId="9">'Variable Mgmt'!#REF!</definedName>
    <definedName name="Iripple1">'Variable Mgmt'!#REF!</definedName>
    <definedName name="Iss">'Variable Mgmt'!$B$133</definedName>
    <definedName name="Isw_max">Parameters!$D$35</definedName>
    <definedName name="Isw_min">Parameters!$D$36</definedName>
    <definedName name="Iuvlo_hys">'Variable Mgmt'!$B$144</definedName>
    <definedName name="Iuvlo1">'Variable Mgmt'!$B$142</definedName>
    <definedName name="Iuvlo2">'Variable Mgmt'!$B$143</definedName>
    <definedName name="k_core">Parameters!$D$29</definedName>
    <definedName name="L">Parameters!$D$26</definedName>
    <definedName name="Lf">'Variable Mgmt'!$B$73</definedName>
    <definedName name="Lleak">'Variable Mgmt'!$B$74</definedName>
    <definedName name="Lmin">'Variable Mgmt'!$B$84</definedName>
    <definedName name="Ltc">'Variable Mgmt'!$B$176</definedName>
    <definedName name="max_I">Parameters!$H$109</definedName>
    <definedName name="min_I">Parameters!$H$108</definedName>
    <definedName name="MODE">'Variable Mgmt'!$C$51</definedName>
    <definedName name="MODE_SS">'Variable Mgmt'!$J$56</definedName>
    <definedName name="MODE_TC">'Variable Mgmt'!$G$50</definedName>
    <definedName name="MODE_TOP">'Variable Mgmt'!$B$51</definedName>
    <definedName name="MODE_UVLO">'Variable Mgmt'!$G$56</definedName>
    <definedName name="Npri_sec1">'Variable Mgmt'!$R$41</definedName>
    <definedName name="Npri_sec2">'Variable Mgmt'!$R$43</definedName>
    <definedName name="Nps">'Variable Mgmt'!$R$40</definedName>
    <definedName name="Nsec1sec2">'Variable Mgmt'!$R$42</definedName>
    <definedName name="OffTime">Parameters!$D$18</definedName>
    <definedName name="OnTime">Parameters!$D$17</definedName>
    <definedName name="Pi">'Variable Mgmt'!$B$157</definedName>
    <definedName name="PICTURE1">INDIRECT('Schematic Mgmt'!$A$2)</definedName>
    <definedName name="PICTURE2">INDIRECT('Fsw Plots'!$A$2)</definedName>
    <definedName name="PICTURE3">INDIRECT('Efficiency Plots'!$A$2)</definedName>
    <definedName name="Pin">'Variable Mgmt'!$B$34</definedName>
    <definedName name="PLOT_TYPE">'Variable Mgmt'!$M$56</definedName>
    <definedName name="Pout">'Variable Mgmt'!$B$14</definedName>
    <definedName name="Pout_total">'Variable Mgmt'!$B$22</definedName>
    <definedName name="Pout2">'Variable Mgmt'!$B$21</definedName>
    <definedName name="_xlnm.Print_Area" localSheetId="1">'BOM &amp; Schematic'!$A$1:$I$50</definedName>
    <definedName name="_xlnm.Print_Area" localSheetId="0">'Design Converter'!$A$1:$R$48</definedName>
    <definedName name="Qg">Parameters!$D$42</definedName>
    <definedName name="RCinEsr" localSheetId="7">Parameters!$D$31</definedName>
    <definedName name="RCinEsr">'Variable Mgmt'!$B$123</definedName>
    <definedName name="RCoutEsr" localSheetId="7">Parameters!$D$33</definedName>
    <definedName name="RCoutEsr">'Variable Mgmt'!$B$97</definedName>
    <definedName name="Rdcr_pri">'Variable Mgmt'!$B$75</definedName>
    <definedName name="Rdcr_sec">'Variable Mgmt'!$B$76</definedName>
    <definedName name="Rdcr_sec2">'Variable Mgmt'!$B$77</definedName>
    <definedName name="Rdson">Parameters!$D$40</definedName>
    <definedName name="Rfb">'Variable Mgmt'!$B$41</definedName>
    <definedName name="Rfb_recommend">'Variable Mgmt'!$B$161</definedName>
    <definedName name="Rfb2_u">'Variable Mgmt'!$B$163</definedName>
    <definedName name="Rout">'Variable Mgmt'!$B$13</definedName>
    <definedName name="Rout2">'Variable Mgmt'!$B$20</definedName>
    <definedName name="Rpg" localSheetId="9">'Variable Mgmt'!#REF!</definedName>
    <definedName name="Rpg">'Variable Mgmt'!#REF!</definedName>
    <definedName name="rr">Parameters!$H$110</definedName>
    <definedName name="RTC">'Variable Mgmt'!$B$167</definedName>
    <definedName name="RTC_1">'Variable Mgmt'!$B$166</definedName>
    <definedName name="Ruvlo1">'Variable Mgmt'!$B$149</definedName>
    <definedName name="Ruvlo2">'Variable Mgmt'!$B$150</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7">Parameters!$D$12</definedName>
    <definedName name="Ta">'Variable Mgmt'!$B$174</definedName>
    <definedName name="TC">'Variable Mgmt'!$G$50</definedName>
    <definedName name="Tfall">Parameters!$D$23</definedName>
    <definedName name="ThetaCa">'Variable Mgmt'!$B$177</definedName>
    <definedName name="TL">'Variable Mgmt'!$B$85</definedName>
    <definedName name="Toff_Vinmax">'Variable Mgmt'!$B$158</definedName>
    <definedName name="Ton_Vinmin">'Variable Mgmt'!$B$159</definedName>
    <definedName name="Trise">Parameters!$D$22</definedName>
    <definedName name="TrrBot">Parameters!$D$50</definedName>
    <definedName name="Tss">'Variable Mgmt'!$B$132</definedName>
    <definedName name="Turns_Ratio">'Variable Mgmt'!$S$38</definedName>
    <definedName name="Turns_Ratio2">'Variable Mgmt'!$W$38</definedName>
    <definedName name="Vdd">Parameters!$D$13</definedName>
    <definedName name="Vfwd1">Parameters!$D$46</definedName>
    <definedName name="Vfwd2">Parameters!$D$47</definedName>
    <definedName name="Vin">'Design Converter'!$E$7</definedName>
    <definedName name="VIN_max">'Variable Mgmt'!$B$9</definedName>
    <definedName name="VIN_min">'Variable Mgmt'!$B$7</definedName>
    <definedName name="VIN_nom">'Variable Mgmt'!$B$8</definedName>
    <definedName name="Vinripple1">'Variable Mgmt'!$B$115</definedName>
    <definedName name="Vinripple2">'Variable Mgmt'!$B$128</definedName>
    <definedName name="VINuvlo_off">'Variable Mgmt'!$B$147</definedName>
    <definedName name="VINuvlo_on">'Variable Mgmt'!$B$146</definedName>
    <definedName name="Vout">'Variable Mgmt'!$B$11</definedName>
    <definedName name="Vout_ripple">'Variable Mgmt'!$B$30</definedName>
    <definedName name="Vout_ripple2">'Variable Mgmt'!$B$31</definedName>
    <definedName name="Vout2">'Variable Mgmt'!$B$16</definedName>
    <definedName name="Vout2_actual">'Variable Mgmt'!$B$17</definedName>
    <definedName name="Vref">'Variable Mgmt'!$B$40</definedName>
    <definedName name="Vripple1_actual">'Variable Mgmt'!$B$99</definedName>
    <definedName name="Vripple1_spec">'Variable Mgmt'!$B$93</definedName>
    <definedName name="Vripple2_actual">'Variable Mgmt'!$B$109</definedName>
    <definedName name="Vripple2_spec">'Variable Mgmt'!$B$103</definedName>
    <definedName name="VRRM_DIODE">'Variable Mgmt'!$B$28</definedName>
    <definedName name="Vuvlo_hys">'Variable Mgmt'!$B$141</definedName>
    <definedName name="Vuvlo_off">'Variable Mgmt'!$B$140</definedName>
    <definedName name="Vuvlo_on">'Variable Mgmt'!$B$139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4" i="2" l="1"/>
  <c r="M10" i="1"/>
  <c r="K10" i="1"/>
  <c r="B36" i="19" l="1"/>
  <c r="B18" i="2" l="1"/>
  <c r="B28" i="19"/>
  <c r="D28" i="19" s="1"/>
  <c r="B47" i="19"/>
  <c r="D47" i="19" s="1"/>
  <c r="BM5" i="24" l="1"/>
  <c r="BM110" i="24"/>
  <c r="BP110" i="24" s="1"/>
  <c r="BK110" i="25"/>
  <c r="M1" i="24"/>
  <c r="BK5" i="25"/>
  <c r="BL5" i="25"/>
  <c r="R41" i="2"/>
  <c r="R40" i="2"/>
  <c r="W41" i="2"/>
  <c r="R38" i="2" l="1"/>
  <c r="R32" i="2"/>
  <c r="R34" i="2"/>
  <c r="K39" i="16" l="1"/>
  <c r="K38" i="16"/>
  <c r="K37" i="16"/>
  <c r="K36" i="16"/>
  <c r="K35" i="16"/>
  <c r="K45" i="16"/>
  <c r="J45" i="16"/>
  <c r="K33" i="16"/>
  <c r="J33" i="16"/>
  <c r="I33" i="16"/>
  <c r="H33" i="16"/>
  <c r="I34" i="16"/>
  <c r="H34" i="16"/>
  <c r="C37" i="16"/>
  <c r="D36" i="16"/>
  <c r="D35" i="16"/>
  <c r="J36" i="16"/>
  <c r="J39" i="16"/>
  <c r="J37" i="16"/>
  <c r="H36" i="16"/>
  <c r="J35" i="16"/>
  <c r="J44" i="16"/>
  <c r="I44" i="16"/>
  <c r="H44" i="16"/>
  <c r="A44" i="16"/>
  <c r="D38" i="16"/>
  <c r="D37" i="16"/>
  <c r="J38" i="16"/>
  <c r="F213" i="2"/>
  <c r="K41" i="16"/>
  <c r="J41" i="16"/>
  <c r="I36" i="16"/>
  <c r="C36" i="16"/>
  <c r="B34" i="16"/>
  <c r="A36" i="16"/>
  <c r="B219" i="2"/>
  <c r="A33" i="16"/>
  <c r="K44" i="16"/>
  <c r="K13" i="1" l="1"/>
  <c r="M13" i="1"/>
  <c r="A2" i="28"/>
  <c r="A2" i="22"/>
  <c r="B17" i="2"/>
  <c r="B16" i="2"/>
  <c r="I5" i="25" l="1"/>
  <c r="B51" i="2"/>
  <c r="D213" i="2" s="1"/>
  <c r="B19" i="2"/>
  <c r="BP6" i="19"/>
  <c r="BQ6" i="19"/>
  <c r="BU6" i="19"/>
  <c r="BV6" i="19"/>
  <c r="BW6" i="19"/>
  <c r="CC6" i="19" s="1"/>
  <c r="CA6" i="19"/>
  <c r="CB6" i="19"/>
  <c r="BP7" i="19"/>
  <c r="BQ7" i="19"/>
  <c r="BU7" i="19"/>
  <c r="BV7" i="19"/>
  <c r="BW7" i="19"/>
  <c r="CC7" i="19" s="1"/>
  <c r="CA7" i="19"/>
  <c r="CB7" i="19"/>
  <c r="BP8" i="19"/>
  <c r="BQ8" i="19"/>
  <c r="BU8" i="19"/>
  <c r="BV8" i="19"/>
  <c r="BW8" i="19"/>
  <c r="CC8" i="19" s="1"/>
  <c r="CA8" i="19"/>
  <c r="CB8" i="19"/>
  <c r="BP9" i="19"/>
  <c r="BQ9" i="19"/>
  <c r="BU9" i="19"/>
  <c r="BV9" i="19"/>
  <c r="BW9" i="19"/>
  <c r="CC9" i="19" s="1"/>
  <c r="CA9" i="19"/>
  <c r="CB9" i="19"/>
  <c r="D24" i="2"/>
  <c r="A24" i="2"/>
  <c r="AL216" i="25"/>
  <c r="AL110" i="25"/>
  <c r="J105" i="25"/>
  <c r="J104" i="25"/>
  <c r="J103" i="25"/>
  <c r="J102" i="25"/>
  <c r="J101" i="25"/>
  <c r="J100" i="25"/>
  <c r="J99" i="25"/>
  <c r="J98" i="25"/>
  <c r="J97" i="25"/>
  <c r="J96" i="25"/>
  <c r="J95" i="25"/>
  <c r="J94" i="25"/>
  <c r="J93" i="25"/>
  <c r="J92" i="25"/>
  <c r="J91" i="25"/>
  <c r="J90" i="25"/>
  <c r="J89" i="25"/>
  <c r="J88" i="25"/>
  <c r="J87" i="25"/>
  <c r="J86" i="25"/>
  <c r="J85" i="25"/>
  <c r="J84" i="25"/>
  <c r="J83" i="25"/>
  <c r="J82" i="25"/>
  <c r="J81" i="25"/>
  <c r="J80" i="25"/>
  <c r="J79" i="25"/>
  <c r="J78" i="25"/>
  <c r="J77" i="25"/>
  <c r="J76" i="25"/>
  <c r="J75" i="25"/>
  <c r="J74" i="25"/>
  <c r="J73" i="25"/>
  <c r="J72" i="25"/>
  <c r="J71" i="25"/>
  <c r="J70" i="25"/>
  <c r="J69" i="25"/>
  <c r="J68" i="25"/>
  <c r="J67" i="25"/>
  <c r="J66" i="25"/>
  <c r="J65" i="25"/>
  <c r="J64" i="25"/>
  <c r="J63" i="25"/>
  <c r="J62" i="25"/>
  <c r="J61" i="25"/>
  <c r="J60" i="25"/>
  <c r="J59" i="25"/>
  <c r="J58" i="25"/>
  <c r="J57" i="25"/>
  <c r="J56" i="25"/>
  <c r="J55" i="25"/>
  <c r="J54" i="25"/>
  <c r="J53" i="25"/>
  <c r="J52" i="25"/>
  <c r="J51" i="25"/>
  <c r="J50" i="25"/>
  <c r="J49" i="25"/>
  <c r="J48" i="25"/>
  <c r="J47" i="25"/>
  <c r="J46" i="25"/>
  <c r="J45" i="25"/>
  <c r="J44" i="25"/>
  <c r="J43" i="25"/>
  <c r="J42" i="25"/>
  <c r="J41" i="25"/>
  <c r="J40" i="25"/>
  <c r="J39" i="25"/>
  <c r="J38" i="25"/>
  <c r="J37" i="25"/>
  <c r="J36" i="25"/>
  <c r="J35" i="25"/>
  <c r="J34" i="25"/>
  <c r="J33" i="25"/>
  <c r="J32" i="25"/>
  <c r="J31" i="25"/>
  <c r="J30" i="25"/>
  <c r="J29" i="25"/>
  <c r="J28" i="25"/>
  <c r="J27" i="25"/>
  <c r="J26" i="25"/>
  <c r="J25" i="25"/>
  <c r="J24" i="25"/>
  <c r="J23" i="25"/>
  <c r="J22" i="25"/>
  <c r="J21" i="25"/>
  <c r="J20" i="25"/>
  <c r="J19" i="25"/>
  <c r="J18" i="25"/>
  <c r="J17" i="25"/>
  <c r="J16" i="25"/>
  <c r="J15" i="25"/>
  <c r="J14" i="25"/>
  <c r="J13" i="25"/>
  <c r="J12" i="25"/>
  <c r="J11" i="25"/>
  <c r="J10" i="25"/>
  <c r="J9" i="25"/>
  <c r="J8" i="25"/>
  <c r="J7" i="25"/>
  <c r="J6" i="25"/>
  <c r="AL5" i="25"/>
  <c r="J5" i="25"/>
  <c r="K12" i="1"/>
  <c r="V38" i="2"/>
  <c r="V36" i="2"/>
  <c r="K9" i="1"/>
  <c r="V28" i="2"/>
  <c r="V29" i="2"/>
  <c r="V35" i="2"/>
  <c r="V34" i="2"/>
  <c r="V33" i="2"/>
  <c r="V32" i="2"/>
  <c r="V31" i="2"/>
  <c r="V30" i="2"/>
  <c r="B265" i="2" l="1"/>
  <c r="R37" i="2"/>
  <c r="R36" i="2"/>
  <c r="R35" i="2"/>
  <c r="R33" i="2"/>
  <c r="R31" i="2"/>
  <c r="R30" i="2"/>
  <c r="R29" i="2"/>
  <c r="R28" i="2"/>
  <c r="B107" i="2" l="1"/>
  <c r="B105" i="2"/>
  <c r="C33" i="16" s="1"/>
  <c r="B77" i="2"/>
  <c r="B82" i="2" s="1"/>
  <c r="K23" i="1" l="1"/>
  <c r="K20" i="1"/>
  <c r="D10" i="1"/>
  <c r="D11" i="1"/>
  <c r="D35" i="1"/>
  <c r="D13" i="1"/>
  <c r="D12" i="1"/>
  <c r="D23" i="1"/>
  <c r="D20" i="1"/>
  <c r="D36" i="1"/>
  <c r="B165" i="2" l="1"/>
  <c r="I56" i="2" l="1"/>
  <c r="B263" i="2"/>
  <c r="F13" i="1"/>
  <c r="B12" i="2"/>
  <c r="BZ110" i="25" l="1"/>
  <c r="B248" i="2"/>
  <c r="G111" i="25"/>
  <c r="G115" i="25"/>
  <c r="G119" i="25"/>
  <c r="G123" i="25"/>
  <c r="G127" i="25"/>
  <c r="G131" i="25"/>
  <c r="G135" i="25"/>
  <c r="G139" i="25"/>
  <c r="G143" i="25"/>
  <c r="G147" i="25"/>
  <c r="G151" i="25"/>
  <c r="G155" i="25"/>
  <c r="G159" i="25"/>
  <c r="G163" i="25"/>
  <c r="G167" i="25"/>
  <c r="G171" i="25"/>
  <c r="G175" i="25"/>
  <c r="G179" i="25"/>
  <c r="G183" i="25"/>
  <c r="G187" i="25"/>
  <c r="G191" i="25"/>
  <c r="G195" i="25"/>
  <c r="G199" i="25"/>
  <c r="G203" i="25"/>
  <c r="G207" i="25"/>
  <c r="G216" i="25"/>
  <c r="G220" i="25"/>
  <c r="I220" i="25" s="1"/>
  <c r="G224" i="25"/>
  <c r="I224" i="25" s="1"/>
  <c r="G228" i="25"/>
  <c r="I228" i="25" s="1"/>
  <c r="G232" i="25"/>
  <c r="I232" i="25" s="1"/>
  <c r="G236" i="25"/>
  <c r="I236" i="25" s="1"/>
  <c r="G240" i="25"/>
  <c r="I240" i="25" s="1"/>
  <c r="G244" i="25"/>
  <c r="I244" i="25" s="1"/>
  <c r="G248" i="25"/>
  <c r="I248" i="25" s="1"/>
  <c r="G252" i="25"/>
  <c r="I252" i="25" s="1"/>
  <c r="G256" i="25"/>
  <c r="I256" i="25" s="1"/>
  <c r="G260" i="25"/>
  <c r="I260" i="25" s="1"/>
  <c r="G264" i="25"/>
  <c r="I264" i="25" s="1"/>
  <c r="G268" i="25"/>
  <c r="I268" i="25" s="1"/>
  <c r="G272" i="25"/>
  <c r="I272" i="25" s="1"/>
  <c r="G276" i="25"/>
  <c r="I276" i="25" s="1"/>
  <c r="G280" i="25"/>
  <c r="I280" i="25" s="1"/>
  <c r="G284" i="25"/>
  <c r="I284" i="25" s="1"/>
  <c r="G288" i="25"/>
  <c r="I288" i="25" s="1"/>
  <c r="G292" i="25"/>
  <c r="I292" i="25" s="1"/>
  <c r="G296" i="25"/>
  <c r="I296" i="25" s="1"/>
  <c r="G300" i="25"/>
  <c r="I300" i="25" s="1"/>
  <c r="G304" i="25"/>
  <c r="I304" i="25" s="1"/>
  <c r="G308" i="25"/>
  <c r="I308" i="25" s="1"/>
  <c r="G312" i="25"/>
  <c r="I312" i="25" s="1"/>
  <c r="G316" i="25"/>
  <c r="I316" i="25" s="1"/>
  <c r="G8" i="25"/>
  <c r="BL8" i="25" s="1"/>
  <c r="G12" i="25"/>
  <c r="BL12" i="25" s="1"/>
  <c r="G16" i="25"/>
  <c r="BL16" i="25" s="1"/>
  <c r="G20" i="25"/>
  <c r="BL20" i="25" s="1"/>
  <c r="G24" i="25"/>
  <c r="BL24" i="25" s="1"/>
  <c r="G28" i="25"/>
  <c r="BL28" i="25" s="1"/>
  <c r="G32" i="25"/>
  <c r="BL32" i="25" s="1"/>
  <c r="G36" i="25"/>
  <c r="BL36" i="25" s="1"/>
  <c r="G40" i="25"/>
  <c r="BL40" i="25" s="1"/>
  <c r="G44" i="25"/>
  <c r="BL44" i="25" s="1"/>
  <c r="G48" i="25"/>
  <c r="BL48" i="25" s="1"/>
  <c r="G52" i="25"/>
  <c r="BL52" i="25" s="1"/>
  <c r="G56" i="25"/>
  <c r="BL56" i="25" s="1"/>
  <c r="G60" i="25"/>
  <c r="BL60" i="25" s="1"/>
  <c r="G64" i="25"/>
  <c r="BL64" i="25" s="1"/>
  <c r="G68" i="25"/>
  <c r="BL68" i="25" s="1"/>
  <c r="G72" i="25"/>
  <c r="BL72" i="25" s="1"/>
  <c r="G76" i="25"/>
  <c r="BL76" i="25" s="1"/>
  <c r="G80" i="25"/>
  <c r="BL80" i="25" s="1"/>
  <c r="G84" i="25"/>
  <c r="BL84" i="25" s="1"/>
  <c r="G88" i="25"/>
  <c r="BL88" i="25" s="1"/>
  <c r="G92" i="25"/>
  <c r="BL92" i="25" s="1"/>
  <c r="G96" i="25"/>
  <c r="BL96" i="25" s="1"/>
  <c r="G100" i="25"/>
  <c r="BL100" i="25" s="1"/>
  <c r="G104" i="25"/>
  <c r="BL104" i="25" s="1"/>
  <c r="G118" i="25"/>
  <c r="G150" i="25"/>
  <c r="G162" i="25"/>
  <c r="G174" i="25"/>
  <c r="G112" i="25"/>
  <c r="G116" i="25"/>
  <c r="G120" i="25"/>
  <c r="G124" i="25"/>
  <c r="G128" i="25"/>
  <c r="G132" i="25"/>
  <c r="G136" i="25"/>
  <c r="G140" i="25"/>
  <c r="G144" i="25"/>
  <c r="G148" i="25"/>
  <c r="G152" i="25"/>
  <c r="G156" i="25"/>
  <c r="G160" i="25"/>
  <c r="G164" i="25"/>
  <c r="G168" i="25"/>
  <c r="G172" i="25"/>
  <c r="G176" i="25"/>
  <c r="G180" i="25"/>
  <c r="G184" i="25"/>
  <c r="G188" i="25"/>
  <c r="G192" i="25"/>
  <c r="G196" i="25"/>
  <c r="G200" i="25"/>
  <c r="G204" i="25"/>
  <c r="G208" i="25"/>
  <c r="G217" i="25"/>
  <c r="I217" i="25" s="1"/>
  <c r="G221" i="25"/>
  <c r="I221" i="25" s="1"/>
  <c r="G225" i="25"/>
  <c r="I225" i="25" s="1"/>
  <c r="G229" i="25"/>
  <c r="I229" i="25" s="1"/>
  <c r="G233" i="25"/>
  <c r="I233" i="25" s="1"/>
  <c r="G237" i="25"/>
  <c r="I237" i="25" s="1"/>
  <c r="G241" i="25"/>
  <c r="I241" i="25" s="1"/>
  <c r="G245" i="25"/>
  <c r="I245" i="25" s="1"/>
  <c r="G249" i="25"/>
  <c r="I249" i="25" s="1"/>
  <c r="G253" i="25"/>
  <c r="I253" i="25" s="1"/>
  <c r="G257" i="25"/>
  <c r="I257" i="25" s="1"/>
  <c r="G261" i="25"/>
  <c r="I261" i="25" s="1"/>
  <c r="G265" i="25"/>
  <c r="I265" i="25" s="1"/>
  <c r="G269" i="25"/>
  <c r="I269" i="25" s="1"/>
  <c r="G273" i="25"/>
  <c r="I273" i="25" s="1"/>
  <c r="G277" i="25"/>
  <c r="I277" i="25" s="1"/>
  <c r="G281" i="25"/>
  <c r="I281" i="25" s="1"/>
  <c r="G285" i="25"/>
  <c r="I285" i="25" s="1"/>
  <c r="G289" i="25"/>
  <c r="I289" i="25" s="1"/>
  <c r="G293" i="25"/>
  <c r="I293" i="25" s="1"/>
  <c r="G297" i="25"/>
  <c r="I297" i="25" s="1"/>
  <c r="G301" i="25"/>
  <c r="I301" i="25" s="1"/>
  <c r="G305" i="25"/>
  <c r="I305" i="25" s="1"/>
  <c r="G309" i="25"/>
  <c r="I309" i="25" s="1"/>
  <c r="G313" i="25"/>
  <c r="I313" i="25" s="1"/>
  <c r="G9" i="25"/>
  <c r="BL9" i="25" s="1"/>
  <c r="G13" i="25"/>
  <c r="BL13" i="25" s="1"/>
  <c r="G17" i="25"/>
  <c r="BL17" i="25" s="1"/>
  <c r="G21" i="25"/>
  <c r="BL21" i="25" s="1"/>
  <c r="G25" i="25"/>
  <c r="BL25" i="25" s="1"/>
  <c r="G29" i="25"/>
  <c r="BL29" i="25" s="1"/>
  <c r="G33" i="25"/>
  <c r="BL33" i="25" s="1"/>
  <c r="G37" i="25"/>
  <c r="BL37" i="25" s="1"/>
  <c r="G41" i="25"/>
  <c r="BL41" i="25" s="1"/>
  <c r="G45" i="25"/>
  <c r="BL45" i="25" s="1"/>
  <c r="G49" i="25"/>
  <c r="BL49" i="25" s="1"/>
  <c r="G53" i="25"/>
  <c r="BL53" i="25" s="1"/>
  <c r="G57" i="25"/>
  <c r="BL57" i="25" s="1"/>
  <c r="G61" i="25"/>
  <c r="BL61" i="25" s="1"/>
  <c r="G65" i="25"/>
  <c r="BL65" i="25" s="1"/>
  <c r="G69" i="25"/>
  <c r="BL69" i="25" s="1"/>
  <c r="G73" i="25"/>
  <c r="BL73" i="25" s="1"/>
  <c r="G77" i="25"/>
  <c r="BL77" i="25" s="1"/>
  <c r="G81" i="25"/>
  <c r="BL81" i="25" s="1"/>
  <c r="G85" i="25"/>
  <c r="BL85" i="25" s="1"/>
  <c r="G89" i="25"/>
  <c r="BL89" i="25" s="1"/>
  <c r="G93" i="25"/>
  <c r="BL93" i="25" s="1"/>
  <c r="G97" i="25"/>
  <c r="BL97" i="25" s="1"/>
  <c r="G101" i="25"/>
  <c r="BL101" i="25" s="1"/>
  <c r="G105" i="25"/>
  <c r="BL105" i="25" s="1"/>
  <c r="G122" i="25"/>
  <c r="G154" i="25"/>
  <c r="G170" i="25"/>
  <c r="G113" i="25"/>
  <c r="G117" i="25"/>
  <c r="G121" i="25"/>
  <c r="G125" i="25"/>
  <c r="G129" i="25"/>
  <c r="G133" i="25"/>
  <c r="G137" i="25"/>
  <c r="G141" i="25"/>
  <c r="G145" i="25"/>
  <c r="G149" i="25"/>
  <c r="G153" i="25"/>
  <c r="G157" i="25"/>
  <c r="G161" i="25"/>
  <c r="G165" i="25"/>
  <c r="G169" i="25"/>
  <c r="G173" i="25"/>
  <c r="G177" i="25"/>
  <c r="G181" i="25"/>
  <c r="G185" i="25"/>
  <c r="G189" i="25"/>
  <c r="G193" i="25"/>
  <c r="G197" i="25"/>
  <c r="G201" i="25"/>
  <c r="G205" i="25"/>
  <c r="G209" i="25"/>
  <c r="G218" i="25"/>
  <c r="I218" i="25" s="1"/>
  <c r="G222" i="25"/>
  <c r="I222" i="25" s="1"/>
  <c r="G226" i="25"/>
  <c r="I226" i="25" s="1"/>
  <c r="G230" i="25"/>
  <c r="I230" i="25" s="1"/>
  <c r="G234" i="25"/>
  <c r="I234" i="25" s="1"/>
  <c r="G238" i="25"/>
  <c r="I238" i="25" s="1"/>
  <c r="G242" i="25"/>
  <c r="I242" i="25" s="1"/>
  <c r="G246" i="25"/>
  <c r="I246" i="25" s="1"/>
  <c r="G250" i="25"/>
  <c r="I250" i="25" s="1"/>
  <c r="G254" i="25"/>
  <c r="I254" i="25" s="1"/>
  <c r="G258" i="25"/>
  <c r="I258" i="25" s="1"/>
  <c r="G262" i="25"/>
  <c r="I262" i="25" s="1"/>
  <c r="G266" i="25"/>
  <c r="I266" i="25" s="1"/>
  <c r="G270" i="25"/>
  <c r="I270" i="25" s="1"/>
  <c r="G274" i="25"/>
  <c r="I274" i="25" s="1"/>
  <c r="G278" i="25"/>
  <c r="I278" i="25" s="1"/>
  <c r="G282" i="25"/>
  <c r="I282" i="25" s="1"/>
  <c r="G286" i="25"/>
  <c r="I286" i="25" s="1"/>
  <c r="G290" i="25"/>
  <c r="I290" i="25" s="1"/>
  <c r="G294" i="25"/>
  <c r="I294" i="25" s="1"/>
  <c r="G298" i="25"/>
  <c r="I298" i="25" s="1"/>
  <c r="G302" i="25"/>
  <c r="I302" i="25" s="1"/>
  <c r="G306" i="25"/>
  <c r="I306" i="25" s="1"/>
  <c r="G310" i="25"/>
  <c r="I310" i="25" s="1"/>
  <c r="G314" i="25"/>
  <c r="I314" i="25" s="1"/>
  <c r="G10" i="25"/>
  <c r="BL10" i="25" s="1"/>
  <c r="G14" i="25"/>
  <c r="BL14" i="25" s="1"/>
  <c r="G18" i="25"/>
  <c r="BL18" i="25" s="1"/>
  <c r="G22" i="25"/>
  <c r="BL22" i="25" s="1"/>
  <c r="G26" i="25"/>
  <c r="BL26" i="25" s="1"/>
  <c r="G30" i="25"/>
  <c r="BL30" i="25" s="1"/>
  <c r="G34" i="25"/>
  <c r="BL34" i="25" s="1"/>
  <c r="G38" i="25"/>
  <c r="BL38" i="25" s="1"/>
  <c r="G42" i="25"/>
  <c r="BL42" i="25" s="1"/>
  <c r="G46" i="25"/>
  <c r="BL46" i="25" s="1"/>
  <c r="G50" i="25"/>
  <c r="BL50" i="25" s="1"/>
  <c r="G54" i="25"/>
  <c r="BL54" i="25" s="1"/>
  <c r="G58" i="25"/>
  <c r="BL58" i="25" s="1"/>
  <c r="G62" i="25"/>
  <c r="BL62" i="25" s="1"/>
  <c r="G66" i="25"/>
  <c r="BL66" i="25" s="1"/>
  <c r="G70" i="25"/>
  <c r="BL70" i="25" s="1"/>
  <c r="G74" i="25"/>
  <c r="BL74" i="25" s="1"/>
  <c r="G78" i="25"/>
  <c r="BL78" i="25" s="1"/>
  <c r="G82" i="25"/>
  <c r="BL82" i="25" s="1"/>
  <c r="G86" i="25"/>
  <c r="BL86" i="25" s="1"/>
  <c r="G90" i="25"/>
  <c r="BL90" i="25" s="1"/>
  <c r="G94" i="25"/>
  <c r="BL94" i="25" s="1"/>
  <c r="G98" i="25"/>
  <c r="BL98" i="25" s="1"/>
  <c r="G102" i="25"/>
  <c r="BL102" i="25" s="1"/>
  <c r="G7" i="25"/>
  <c r="BL7" i="25" s="1"/>
  <c r="G110" i="25"/>
  <c r="G114" i="25"/>
  <c r="G126" i="25"/>
  <c r="G130" i="25"/>
  <c r="G134" i="25"/>
  <c r="G138" i="25"/>
  <c r="G142" i="25"/>
  <c r="G146" i="25"/>
  <c r="G158" i="25"/>
  <c r="G166" i="25"/>
  <c r="G182" i="25"/>
  <c r="G198" i="25"/>
  <c r="G219" i="25"/>
  <c r="I219" i="25" s="1"/>
  <c r="G235" i="25"/>
  <c r="I235" i="25" s="1"/>
  <c r="G251" i="25"/>
  <c r="I251" i="25" s="1"/>
  <c r="G267" i="25"/>
  <c r="I267" i="25" s="1"/>
  <c r="G283" i="25"/>
  <c r="I283" i="25" s="1"/>
  <c r="G299" i="25"/>
  <c r="I299" i="25" s="1"/>
  <c r="G315" i="25"/>
  <c r="I315" i="25" s="1"/>
  <c r="G11" i="25"/>
  <c r="BL11" i="25" s="1"/>
  <c r="G27" i="25"/>
  <c r="BL27" i="25" s="1"/>
  <c r="G43" i="25"/>
  <c r="BL43" i="25" s="1"/>
  <c r="G59" i="25"/>
  <c r="BL59" i="25" s="1"/>
  <c r="G75" i="25"/>
  <c r="BL75" i="25" s="1"/>
  <c r="G91" i="25"/>
  <c r="BL91" i="25" s="1"/>
  <c r="G6" i="25"/>
  <c r="BL6" i="25" s="1"/>
  <c r="G186" i="25"/>
  <c r="G255" i="25"/>
  <c r="I255" i="25" s="1"/>
  <c r="G303" i="25"/>
  <c r="I303" i="25" s="1"/>
  <c r="G47" i="25"/>
  <c r="BL47" i="25" s="1"/>
  <c r="G95" i="25"/>
  <c r="BL95" i="25" s="1"/>
  <c r="G190" i="25"/>
  <c r="G206" i="25"/>
  <c r="G227" i="25"/>
  <c r="I227" i="25" s="1"/>
  <c r="G243" i="25"/>
  <c r="I243" i="25" s="1"/>
  <c r="G259" i="25"/>
  <c r="I259" i="25" s="1"/>
  <c r="G275" i="25"/>
  <c r="I275" i="25" s="1"/>
  <c r="G291" i="25"/>
  <c r="I291" i="25" s="1"/>
  <c r="G307" i="25"/>
  <c r="I307" i="25" s="1"/>
  <c r="G19" i="25"/>
  <c r="BL19" i="25" s="1"/>
  <c r="G35" i="25"/>
  <c r="BL35" i="25" s="1"/>
  <c r="G51" i="25"/>
  <c r="BL51" i="25" s="1"/>
  <c r="G67" i="25"/>
  <c r="BL67" i="25" s="1"/>
  <c r="G83" i="25"/>
  <c r="BL83" i="25" s="1"/>
  <c r="G99" i="25"/>
  <c r="BL99" i="25" s="1"/>
  <c r="G87" i="25"/>
  <c r="BL87" i="25" s="1"/>
  <c r="G223" i="25"/>
  <c r="I223" i="25" s="1"/>
  <c r="G239" i="25"/>
  <c r="I239" i="25" s="1"/>
  <c r="G287" i="25"/>
  <c r="I287" i="25" s="1"/>
  <c r="G15" i="25"/>
  <c r="BL15" i="25" s="1"/>
  <c r="G63" i="25"/>
  <c r="BL63" i="25" s="1"/>
  <c r="G178" i="25"/>
  <c r="G194" i="25"/>
  <c r="G210" i="25"/>
  <c r="G231" i="25"/>
  <c r="I231" i="25" s="1"/>
  <c r="G247" i="25"/>
  <c r="I247" i="25" s="1"/>
  <c r="G263" i="25"/>
  <c r="I263" i="25" s="1"/>
  <c r="G279" i="25"/>
  <c r="I279" i="25" s="1"/>
  <c r="G295" i="25"/>
  <c r="I295" i="25" s="1"/>
  <c r="G311" i="25"/>
  <c r="I311" i="25" s="1"/>
  <c r="G23" i="25"/>
  <c r="BL23" i="25" s="1"/>
  <c r="G39" i="25"/>
  <c r="BL39" i="25" s="1"/>
  <c r="G55" i="25"/>
  <c r="BL55" i="25" s="1"/>
  <c r="G71" i="25"/>
  <c r="BL71" i="25" s="1"/>
  <c r="G103" i="25"/>
  <c r="BL103" i="25" s="1"/>
  <c r="G202" i="25"/>
  <c r="G271" i="25"/>
  <c r="I271" i="25" s="1"/>
  <c r="G31" i="25"/>
  <c r="BL31" i="25" s="1"/>
  <c r="G79" i="25"/>
  <c r="BL79" i="25" s="1"/>
  <c r="F7" i="25"/>
  <c r="F6" i="25"/>
  <c r="I158" i="25" l="1"/>
  <c r="BL158" i="25"/>
  <c r="BL110" i="25"/>
  <c r="BO110" i="25" s="1"/>
  <c r="I189" i="25"/>
  <c r="BL189" i="25"/>
  <c r="I157" i="25"/>
  <c r="BL157" i="25"/>
  <c r="I125" i="25"/>
  <c r="BL125" i="25"/>
  <c r="I170" i="25"/>
  <c r="BL170" i="25"/>
  <c r="I180" i="25"/>
  <c r="BL180" i="25"/>
  <c r="I148" i="25"/>
  <c r="BL148" i="25"/>
  <c r="I116" i="25"/>
  <c r="BL116" i="25"/>
  <c r="I150" i="25"/>
  <c r="BL150" i="25"/>
  <c r="I195" i="25"/>
  <c r="BL195" i="25"/>
  <c r="I163" i="25"/>
  <c r="BL163" i="25"/>
  <c r="I131" i="25"/>
  <c r="BL131" i="25"/>
  <c r="I190" i="25"/>
  <c r="BL190" i="25"/>
  <c r="I198" i="25"/>
  <c r="BL198" i="25"/>
  <c r="I146" i="25"/>
  <c r="BL146" i="25"/>
  <c r="I130" i="25"/>
  <c r="BL130" i="25"/>
  <c r="I201" i="25"/>
  <c r="BL201" i="25"/>
  <c r="I169" i="25"/>
  <c r="BL169" i="25"/>
  <c r="I137" i="25"/>
  <c r="BL137" i="25"/>
  <c r="I154" i="25"/>
  <c r="BL154" i="25"/>
  <c r="I192" i="25"/>
  <c r="BL192" i="25"/>
  <c r="I160" i="25"/>
  <c r="BL160" i="25"/>
  <c r="I128" i="25"/>
  <c r="BL128" i="25"/>
  <c r="I207" i="25"/>
  <c r="BL207" i="25"/>
  <c r="I175" i="25"/>
  <c r="BL175" i="25"/>
  <c r="I143" i="25"/>
  <c r="BL143" i="25"/>
  <c r="I111" i="25"/>
  <c r="BL111" i="25"/>
  <c r="I202" i="25"/>
  <c r="BL202" i="25"/>
  <c r="I210" i="25"/>
  <c r="BL210" i="25"/>
  <c r="I166" i="25"/>
  <c r="BL166" i="25"/>
  <c r="I138" i="25"/>
  <c r="BL138" i="25"/>
  <c r="I114" i="25"/>
  <c r="BL114" i="25"/>
  <c r="I209" i="25"/>
  <c r="BL209" i="25"/>
  <c r="I193" i="25"/>
  <c r="BL193" i="25"/>
  <c r="I177" i="25"/>
  <c r="BL177" i="25"/>
  <c r="I161" i="25"/>
  <c r="BL161" i="25"/>
  <c r="I145" i="25"/>
  <c r="BL145" i="25"/>
  <c r="I129" i="25"/>
  <c r="BL129" i="25"/>
  <c r="I113" i="25"/>
  <c r="BL113" i="25"/>
  <c r="I200" i="25"/>
  <c r="BL200" i="25"/>
  <c r="I184" i="25"/>
  <c r="BL184" i="25"/>
  <c r="I168" i="25"/>
  <c r="BL168" i="25"/>
  <c r="I152" i="25"/>
  <c r="BL152" i="25"/>
  <c r="I136" i="25"/>
  <c r="BL136" i="25"/>
  <c r="I120" i="25"/>
  <c r="BL120" i="25"/>
  <c r="I162" i="25"/>
  <c r="BL162" i="25"/>
  <c r="I199" i="25"/>
  <c r="BL199" i="25"/>
  <c r="I183" i="25"/>
  <c r="BL183" i="25"/>
  <c r="I167" i="25"/>
  <c r="BL167" i="25"/>
  <c r="I151" i="25"/>
  <c r="BL151" i="25"/>
  <c r="I135" i="25"/>
  <c r="BL135" i="25"/>
  <c r="I119" i="25"/>
  <c r="BL119" i="25"/>
  <c r="I194" i="25"/>
  <c r="BL194" i="25"/>
  <c r="I206" i="25"/>
  <c r="BL206" i="25"/>
  <c r="I134" i="25"/>
  <c r="BL134" i="25"/>
  <c r="I205" i="25"/>
  <c r="BL205" i="25"/>
  <c r="I173" i="25"/>
  <c r="BL173" i="25"/>
  <c r="I141" i="25"/>
  <c r="BL141" i="25"/>
  <c r="I196" i="25"/>
  <c r="BL196" i="25"/>
  <c r="I164" i="25"/>
  <c r="BL164" i="25"/>
  <c r="I132" i="25"/>
  <c r="BL132" i="25"/>
  <c r="I179" i="25"/>
  <c r="BL179" i="25"/>
  <c r="I147" i="25"/>
  <c r="BL147" i="25"/>
  <c r="I115" i="25"/>
  <c r="BL115" i="25"/>
  <c r="I178" i="25"/>
  <c r="BL178" i="25"/>
  <c r="I185" i="25"/>
  <c r="BL185" i="25"/>
  <c r="I153" i="25"/>
  <c r="BL153" i="25"/>
  <c r="I121" i="25"/>
  <c r="BL121" i="25"/>
  <c r="I208" i="25"/>
  <c r="BL208" i="25"/>
  <c r="I176" i="25"/>
  <c r="BL176" i="25"/>
  <c r="I144" i="25"/>
  <c r="BL144" i="25"/>
  <c r="I112" i="25"/>
  <c r="BL112" i="25"/>
  <c r="I118" i="25"/>
  <c r="BL118" i="25"/>
  <c r="I191" i="25"/>
  <c r="BL191" i="25"/>
  <c r="I159" i="25"/>
  <c r="BL159" i="25"/>
  <c r="I127" i="25"/>
  <c r="BL127" i="25"/>
  <c r="I186" i="25"/>
  <c r="BL186" i="25"/>
  <c r="I182" i="25"/>
  <c r="BL182" i="25"/>
  <c r="I142" i="25"/>
  <c r="BL142" i="25"/>
  <c r="I126" i="25"/>
  <c r="BL126" i="25"/>
  <c r="I197" i="25"/>
  <c r="BL197" i="25"/>
  <c r="I181" i="25"/>
  <c r="BL181" i="25"/>
  <c r="I165" i="25"/>
  <c r="BL165" i="25"/>
  <c r="I149" i="25"/>
  <c r="BL149" i="25"/>
  <c r="I133" i="25"/>
  <c r="BL133" i="25"/>
  <c r="I117" i="25"/>
  <c r="BL117" i="25"/>
  <c r="I122" i="25"/>
  <c r="BL122" i="25"/>
  <c r="I204" i="25"/>
  <c r="BL204" i="25"/>
  <c r="I188" i="25"/>
  <c r="BL188" i="25"/>
  <c r="I172" i="25"/>
  <c r="BL172" i="25"/>
  <c r="I156" i="25"/>
  <c r="BL156" i="25"/>
  <c r="I140" i="25"/>
  <c r="BL140" i="25"/>
  <c r="I124" i="25"/>
  <c r="BL124" i="25"/>
  <c r="I174" i="25"/>
  <c r="BL174" i="25"/>
  <c r="I203" i="25"/>
  <c r="BL203" i="25"/>
  <c r="I187" i="25"/>
  <c r="BL187" i="25"/>
  <c r="I171" i="25"/>
  <c r="BL171" i="25"/>
  <c r="I155" i="25"/>
  <c r="BL155" i="25"/>
  <c r="I139" i="25"/>
  <c r="BL139" i="25"/>
  <c r="I123" i="25"/>
  <c r="BL123" i="25"/>
  <c r="BZ6" i="25"/>
  <c r="BK6" i="25"/>
  <c r="BZ7" i="25"/>
  <c r="BK7" i="25"/>
  <c r="I6" i="25"/>
  <c r="I7" i="25"/>
  <c r="I67" i="25"/>
  <c r="I86" i="25"/>
  <c r="I54" i="25"/>
  <c r="I22" i="25"/>
  <c r="I93" i="25"/>
  <c r="I61" i="25"/>
  <c r="I29" i="25"/>
  <c r="I104" i="25"/>
  <c r="I88" i="25"/>
  <c r="I72" i="25"/>
  <c r="I56" i="25"/>
  <c r="I40" i="25"/>
  <c r="I24" i="25"/>
  <c r="I8" i="25"/>
  <c r="I39" i="25"/>
  <c r="I15" i="25"/>
  <c r="I87" i="25"/>
  <c r="I51" i="25"/>
  <c r="I47" i="25"/>
  <c r="I43" i="25"/>
  <c r="I98" i="25"/>
  <c r="I82" i="25"/>
  <c r="I66" i="25"/>
  <c r="I50" i="25"/>
  <c r="I34" i="25"/>
  <c r="I18" i="25"/>
  <c r="I105" i="25"/>
  <c r="I89" i="25"/>
  <c r="I73" i="25"/>
  <c r="I57" i="25"/>
  <c r="I41" i="25"/>
  <c r="I25" i="25"/>
  <c r="I9" i="25"/>
  <c r="I100" i="25"/>
  <c r="I84" i="25"/>
  <c r="I68" i="25"/>
  <c r="I52" i="25"/>
  <c r="I36" i="25"/>
  <c r="I20" i="25"/>
  <c r="I59" i="25"/>
  <c r="I102" i="25"/>
  <c r="I38" i="25"/>
  <c r="I77" i="25"/>
  <c r="I13" i="25"/>
  <c r="I79" i="25"/>
  <c r="I23" i="25"/>
  <c r="I99" i="25"/>
  <c r="I91" i="25"/>
  <c r="I27" i="25"/>
  <c r="I94" i="25"/>
  <c r="I78" i="25"/>
  <c r="I62" i="25"/>
  <c r="I46" i="25"/>
  <c r="I30" i="25"/>
  <c r="I14" i="25"/>
  <c r="I101" i="25"/>
  <c r="I85" i="25"/>
  <c r="I69" i="25"/>
  <c r="I53" i="25"/>
  <c r="I37" i="25"/>
  <c r="I21" i="25"/>
  <c r="I96" i="25"/>
  <c r="I80" i="25"/>
  <c r="I64" i="25"/>
  <c r="I48" i="25"/>
  <c r="I32" i="25"/>
  <c r="I16" i="25"/>
  <c r="I55" i="25"/>
  <c r="I63" i="25"/>
  <c r="I95" i="25"/>
  <c r="I70" i="25"/>
  <c r="I45" i="25"/>
  <c r="I103" i="25"/>
  <c r="I35" i="25"/>
  <c r="I31" i="25"/>
  <c r="I71" i="25"/>
  <c r="I83" i="25"/>
  <c r="I19" i="25"/>
  <c r="I75" i="25"/>
  <c r="I11" i="25"/>
  <c r="I90" i="25"/>
  <c r="I74" i="25"/>
  <c r="I58" i="25"/>
  <c r="I42" i="25"/>
  <c r="I26" i="25"/>
  <c r="I10" i="25"/>
  <c r="I97" i="25"/>
  <c r="I81" i="25"/>
  <c r="I65" i="25"/>
  <c r="I49" i="25"/>
  <c r="I33" i="25"/>
  <c r="I17" i="25"/>
  <c r="I92" i="25"/>
  <c r="I76" i="25"/>
  <c r="I60" i="25"/>
  <c r="I44" i="25"/>
  <c r="I28" i="25"/>
  <c r="I12" i="25"/>
  <c r="I110" i="25"/>
  <c r="I216" i="25"/>
  <c r="B212" i="2"/>
  <c r="A210" i="2"/>
  <c r="B52" i="2"/>
  <c r="D209" i="2" l="1"/>
  <c r="A209" i="2"/>
  <c r="D208" i="2" l="1"/>
  <c r="D264" i="2"/>
  <c r="F12" i="1"/>
  <c r="C227" i="2"/>
  <c r="C236" i="2"/>
  <c r="D236" i="2"/>
  <c r="B46" i="19"/>
  <c r="B31" i="2" l="1"/>
  <c r="B20" i="2"/>
  <c r="B21" i="2"/>
  <c r="B24" i="2"/>
  <c r="C213" i="2"/>
  <c r="C52" i="2"/>
  <c r="B76" i="2"/>
  <c r="B81" i="2" s="1"/>
  <c r="B103" i="2" l="1"/>
  <c r="B58" i="2"/>
  <c r="C58" i="2"/>
  <c r="B264" i="2"/>
  <c r="C212" i="2"/>
  <c r="F212" i="2"/>
  <c r="D212" i="2"/>
  <c r="B209" i="2"/>
  <c r="B210" i="2"/>
  <c r="B124" i="2"/>
  <c r="B120" i="2"/>
  <c r="B220" i="2" s="1"/>
  <c r="B97" i="2"/>
  <c r="B95" i="2"/>
  <c r="D32" i="1"/>
  <c r="AM5" i="24"/>
  <c r="AM216" i="24"/>
  <c r="AM110" i="24"/>
  <c r="B215" i="2" l="1"/>
  <c r="B216" i="2"/>
  <c r="C32" i="16"/>
  <c r="B218" i="2"/>
  <c r="C31" i="16"/>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0" i="24"/>
  <c r="I101" i="24"/>
  <c r="I102" i="24"/>
  <c r="I103" i="24"/>
  <c r="I104" i="24"/>
  <c r="I105" i="24"/>
  <c r="I5" i="24"/>
  <c r="D21" i="19"/>
  <c r="D36" i="19"/>
  <c r="F12" i="19"/>
  <c r="D37" i="19"/>
  <c r="D35" i="19"/>
  <c r="B41" i="2"/>
  <c r="C41" i="16" s="1"/>
  <c r="D41" i="16" s="1"/>
  <c r="B33" i="19"/>
  <c r="F56" i="2"/>
  <c r="F50" i="2"/>
  <c r="D29" i="1"/>
  <c r="G237" i="2"/>
  <c r="C232" i="2"/>
  <c r="C233" i="2"/>
  <c r="A241" i="2"/>
  <c r="G51" i="2"/>
  <c r="A199" i="2"/>
  <c r="C245" i="2"/>
  <c r="U2" i="24" l="1"/>
  <c r="B162" i="2"/>
  <c r="B166" i="2" s="1"/>
  <c r="I9" i="8" s="1"/>
  <c r="I10" i="8"/>
  <c r="B147" i="2"/>
  <c r="B144" i="2"/>
  <c r="B56" i="2" l="1"/>
  <c r="C189" i="2"/>
  <c r="K44" i="2"/>
  <c r="K34" i="16" l="1"/>
  <c r="J34" i="16"/>
  <c r="K43" i="16"/>
  <c r="K42" i="16"/>
  <c r="J43" i="16"/>
  <c r="J42" i="16"/>
  <c r="I43" i="16" l="1"/>
  <c r="I42" i="16"/>
  <c r="H43" i="16"/>
  <c r="H42" i="16"/>
  <c r="J40" i="16"/>
  <c r="K40" i="16"/>
  <c r="K32" i="16"/>
  <c r="J32" i="16"/>
  <c r="K31" i="16"/>
  <c r="J31" i="16" l="1"/>
  <c r="T61" i="2"/>
  <c r="R61" i="2"/>
  <c r="B11" i="2" l="1"/>
  <c r="B26" i="19"/>
  <c r="D26" i="19" s="1"/>
  <c r="B20" i="19"/>
  <c r="D20" i="19" s="1"/>
  <c r="B27" i="19"/>
  <c r="D27" i="19" s="1"/>
  <c r="B8" i="2"/>
  <c r="B115" i="2" s="1"/>
  <c r="B75" i="2"/>
  <c r="B80" i="2" s="1"/>
  <c r="B73" i="2"/>
  <c r="B123" i="2"/>
  <c r="BP106" i="19"/>
  <c r="D44" i="19"/>
  <c r="A34" i="16"/>
  <c r="A43" i="16"/>
  <c r="A42" i="16"/>
  <c r="C246" i="2"/>
  <c r="B261" i="2"/>
  <c r="B236" i="2"/>
  <c r="B232" i="2"/>
  <c r="J50" i="2"/>
  <c r="C229" i="2"/>
  <c r="B229" i="2"/>
  <c r="B32" i="19"/>
  <c r="D32" i="19" s="1"/>
  <c r="B31" i="19"/>
  <c r="D31" i="19" s="1"/>
  <c r="B30" i="19"/>
  <c r="D30" i="19" s="1"/>
  <c r="B8" i="19"/>
  <c r="D8" i="19" s="1"/>
  <c r="F91" i="19"/>
  <c r="F90" i="19"/>
  <c r="F89" i="19"/>
  <c r="D51" i="19"/>
  <c r="D50" i="19"/>
  <c r="D49" i="19"/>
  <c r="D48" i="19"/>
  <c r="D46" i="19"/>
  <c r="D43" i="19"/>
  <c r="D42" i="19"/>
  <c r="D40" i="19"/>
  <c r="D38" i="19"/>
  <c r="D33" i="19"/>
  <c r="D29" i="19"/>
  <c r="D23" i="19"/>
  <c r="D22" i="19"/>
  <c r="A53" i="19" s="1"/>
  <c r="D13" i="19"/>
  <c r="B181" i="2" s="1"/>
  <c r="D12" i="19"/>
  <c r="A31" i="16"/>
  <c r="B214" i="2"/>
  <c r="A213" i="2"/>
  <c r="B9" i="2"/>
  <c r="I6" i="8"/>
  <c r="J6" i="8" s="1"/>
  <c r="D40" i="16"/>
  <c r="C45" i="16"/>
  <c r="B146" i="2"/>
  <c r="B149" i="2" s="1"/>
  <c r="B141" i="2"/>
  <c r="B199" i="2"/>
  <c r="B213" i="2"/>
  <c r="B7" i="2"/>
  <c r="B132" i="2"/>
  <c r="B134" i="2" s="1"/>
  <c r="B176" i="2"/>
  <c r="A34" i="8"/>
  <c r="A35" i="8"/>
  <c r="A36" i="8"/>
  <c r="A37" i="8"/>
  <c r="A38" i="8"/>
  <c r="A50" i="8" s="1"/>
  <c r="A62" i="8" s="1"/>
  <c r="A74" i="8" s="1"/>
  <c r="A86" i="8" s="1"/>
  <c r="A98" i="8" s="1"/>
  <c r="A110" i="8" s="1"/>
  <c r="A122" i="8" s="1"/>
  <c r="A134" i="8" s="1"/>
  <c r="A146" i="8" s="1"/>
  <c r="A158" i="8" s="1"/>
  <c r="A39" i="8"/>
  <c r="A40" i="8"/>
  <c r="A52" i="8" s="1"/>
  <c r="A64" i="8" s="1"/>
  <c r="A76" i="8" s="1"/>
  <c r="A88" i="8" s="1"/>
  <c r="A100" i="8" s="1"/>
  <c r="A112" i="8" s="1"/>
  <c r="A124" i="8" s="1"/>
  <c r="A136" i="8" s="1"/>
  <c r="A148" i="8" s="1"/>
  <c r="A41" i="8"/>
  <c r="A53" i="8" s="1"/>
  <c r="A65" i="8" s="1"/>
  <c r="A77" i="8" s="1"/>
  <c r="A89" i="8" s="1"/>
  <c r="A101" i="8" s="1"/>
  <c r="A113" i="8" s="1"/>
  <c r="A125" i="8" s="1"/>
  <c r="A137" i="8" s="1"/>
  <c r="A149" i="8" s="1"/>
  <c r="A42" i="8"/>
  <c r="A43" i="8"/>
  <c r="A44" i="8"/>
  <c r="A45" i="8"/>
  <c r="A46" i="8"/>
  <c r="A58" i="8" s="1"/>
  <c r="A70" i="8" s="1"/>
  <c r="A82" i="8" s="1"/>
  <c r="A94" i="8" s="1"/>
  <c r="A106" i="8" s="1"/>
  <c r="A118" i="8" s="1"/>
  <c r="A130" i="8" s="1"/>
  <c r="A142" i="8" s="1"/>
  <c r="A154" i="8" s="1"/>
  <c r="A47" i="8"/>
  <c r="A48" i="8"/>
  <c r="A60" i="8" s="1"/>
  <c r="A72" i="8" s="1"/>
  <c r="A84" i="8" s="1"/>
  <c r="A96" i="8" s="1"/>
  <c r="A108" i="8" s="1"/>
  <c r="A120" i="8" s="1"/>
  <c r="A132" i="8" s="1"/>
  <c r="A144" i="8" s="1"/>
  <c r="A156" i="8" s="1"/>
  <c r="A49" i="8"/>
  <c r="A61" i="8" s="1"/>
  <c r="A73" i="8" s="1"/>
  <c r="A85" i="8" s="1"/>
  <c r="A97" i="8" s="1"/>
  <c r="A109" i="8" s="1"/>
  <c r="A121" i="8" s="1"/>
  <c r="A133" i="8" s="1"/>
  <c r="A145" i="8" s="1"/>
  <c r="A157" i="8" s="1"/>
  <c r="A51" i="8"/>
  <c r="A54" i="8"/>
  <c r="A66" i="8" s="1"/>
  <c r="A78" i="8" s="1"/>
  <c r="A90" i="8" s="1"/>
  <c r="A102" i="8" s="1"/>
  <c r="A114" i="8" s="1"/>
  <c r="A126" i="8" s="1"/>
  <c r="A138" i="8" s="1"/>
  <c r="A150" i="8" s="1"/>
  <c r="A55" i="8"/>
  <c r="A56" i="8"/>
  <c r="A68" i="8" s="1"/>
  <c r="A80" i="8" s="1"/>
  <c r="A92" i="8" s="1"/>
  <c r="A104" i="8" s="1"/>
  <c r="A116" i="8" s="1"/>
  <c r="A128" i="8" s="1"/>
  <c r="A140" i="8" s="1"/>
  <c r="A152" i="8" s="1"/>
  <c r="A57" i="8"/>
  <c r="A69" i="8" s="1"/>
  <c r="A81" i="8" s="1"/>
  <c r="A93" i="8" s="1"/>
  <c r="A105" i="8" s="1"/>
  <c r="A117" i="8" s="1"/>
  <c r="A129" i="8" s="1"/>
  <c r="A141" i="8" s="1"/>
  <c r="A153" i="8" s="1"/>
  <c r="A59" i="8"/>
  <c r="A63" i="8"/>
  <c r="A67" i="8"/>
  <c r="A71" i="8"/>
  <c r="A75" i="8"/>
  <c r="A79" i="8"/>
  <c r="A83" i="8"/>
  <c r="A87" i="8"/>
  <c r="A91" i="8"/>
  <c r="A95" i="8"/>
  <c r="A107" i="8" s="1"/>
  <c r="A119" i="8" s="1"/>
  <c r="A131" i="8" s="1"/>
  <c r="A143" i="8" s="1"/>
  <c r="A155" i="8" s="1"/>
  <c r="A99" i="8"/>
  <c r="A103" i="8"/>
  <c r="A115" i="8" s="1"/>
  <c r="A127" i="8" s="1"/>
  <c r="A139" i="8" s="1"/>
  <c r="A151" i="8" s="1"/>
  <c r="A111" i="8"/>
  <c r="A123" i="8" s="1"/>
  <c r="A135" i="8" s="1"/>
  <c r="A147" i="8" s="1"/>
  <c r="A159" i="8" s="1"/>
  <c r="E3" i="8"/>
  <c r="A208" i="2"/>
  <c r="B208" i="2"/>
  <c r="I14" i="8"/>
  <c r="B186" i="2"/>
  <c r="I13" i="8"/>
  <c r="J13" i="8" s="1"/>
  <c r="I7" i="8"/>
  <c r="J7" i="8" s="1"/>
  <c r="J14" i="8"/>
  <c r="B84" i="2" l="1"/>
  <c r="L6" i="1" s="1"/>
  <c r="G11" i="2"/>
  <c r="B61" i="2"/>
  <c r="L14" i="1" s="1"/>
  <c r="M2" i="24"/>
  <c r="S5" i="24"/>
  <c r="T5" i="24" s="1"/>
  <c r="D39" i="16"/>
  <c r="K12" i="2"/>
  <c r="K11" i="2"/>
  <c r="BI9" i="25"/>
  <c r="BI69" i="25"/>
  <c r="BI15" i="25"/>
  <c r="BI31" i="25"/>
  <c r="BI47" i="25"/>
  <c r="BI63" i="25"/>
  <c r="BI79" i="25"/>
  <c r="BI29" i="25"/>
  <c r="BI65" i="25"/>
  <c r="BI8" i="25"/>
  <c r="BI24" i="25"/>
  <c r="BI40" i="25"/>
  <c r="BI56" i="25"/>
  <c r="BI72" i="25"/>
  <c r="BI88" i="25"/>
  <c r="BI49" i="25"/>
  <c r="BI6" i="25"/>
  <c r="BI22" i="25"/>
  <c r="BI38" i="25"/>
  <c r="BI54" i="25"/>
  <c r="BI70" i="25"/>
  <c r="BI86" i="25"/>
  <c r="BI102" i="25"/>
  <c r="BI104" i="25"/>
  <c r="BI97" i="25"/>
  <c r="BI105" i="25"/>
  <c r="BI42" i="25"/>
  <c r="BI74" i="25"/>
  <c r="BI92" i="25"/>
  <c r="BI99" i="25"/>
  <c r="BI27" i="25"/>
  <c r="BI75" i="25"/>
  <c r="BI5" i="25"/>
  <c r="BI68" i="25"/>
  <c r="BI85" i="25"/>
  <c r="BI34" i="25"/>
  <c r="BI82" i="25"/>
  <c r="BI95" i="25"/>
  <c r="BI21" i="25"/>
  <c r="BI81" i="25"/>
  <c r="BI19" i="25"/>
  <c r="BI35" i="25"/>
  <c r="BI51" i="25"/>
  <c r="BI67" i="25"/>
  <c r="BI83" i="25"/>
  <c r="BI33" i="25"/>
  <c r="BI77" i="25"/>
  <c r="BI12" i="25"/>
  <c r="BI28" i="25"/>
  <c r="BI44" i="25"/>
  <c r="BI60" i="25"/>
  <c r="BI76" i="25"/>
  <c r="BI13" i="25"/>
  <c r="BI61" i="25"/>
  <c r="BI10" i="25"/>
  <c r="BI26" i="25"/>
  <c r="BI58" i="25"/>
  <c r="BI90" i="25"/>
  <c r="BI91" i="25"/>
  <c r="BI11" i="25"/>
  <c r="BI17" i="25"/>
  <c r="BI36" i="25"/>
  <c r="BI37" i="25"/>
  <c r="BI50" i="25"/>
  <c r="BI96" i="25"/>
  <c r="BI41" i="25"/>
  <c r="BI7" i="25"/>
  <c r="BI23" i="25"/>
  <c r="BI39" i="25"/>
  <c r="BI55" i="25"/>
  <c r="BI71" i="25"/>
  <c r="BI87" i="25"/>
  <c r="BI45" i="25"/>
  <c r="BI89" i="25"/>
  <c r="BI16" i="25"/>
  <c r="BI32" i="25"/>
  <c r="BI48" i="25"/>
  <c r="BI64" i="25"/>
  <c r="BI80" i="25"/>
  <c r="BI25" i="25"/>
  <c r="BI73" i="25"/>
  <c r="BI14" i="25"/>
  <c r="BI30" i="25"/>
  <c r="BI46" i="25"/>
  <c r="BI62" i="25"/>
  <c r="BI78" i="25"/>
  <c r="BI98" i="25"/>
  <c r="BI100" i="25"/>
  <c r="BI93" i="25"/>
  <c r="BI101" i="25"/>
  <c r="BI53" i="25"/>
  <c r="BI43" i="25"/>
  <c r="BI59" i="25"/>
  <c r="BI57" i="25"/>
  <c r="BI20" i="25"/>
  <c r="BI52" i="25"/>
  <c r="BI84" i="25"/>
  <c r="BI18" i="25"/>
  <c r="BI66" i="25"/>
  <c r="BI94" i="25"/>
  <c r="BI103" i="25"/>
  <c r="BP5" i="24"/>
  <c r="B28" i="2"/>
  <c r="C39" i="16"/>
  <c r="R42" i="2"/>
  <c r="J210" i="25"/>
  <c r="J206" i="25"/>
  <c r="J202" i="25"/>
  <c r="J198" i="25"/>
  <c r="J194" i="25"/>
  <c r="J190" i="25"/>
  <c r="J186" i="25"/>
  <c r="J182" i="25"/>
  <c r="J178" i="25"/>
  <c r="J174" i="25"/>
  <c r="J170" i="25"/>
  <c r="J166" i="25"/>
  <c r="J162" i="25"/>
  <c r="J158" i="25"/>
  <c r="J154" i="25"/>
  <c r="J150" i="25"/>
  <c r="J146" i="25"/>
  <c r="J142" i="25"/>
  <c r="J138" i="25"/>
  <c r="J134" i="25"/>
  <c r="J130" i="25"/>
  <c r="J126" i="25"/>
  <c r="J122" i="25"/>
  <c r="J118" i="25"/>
  <c r="J114" i="25"/>
  <c r="J207" i="25"/>
  <c r="J179" i="25"/>
  <c r="J167" i="25"/>
  <c r="J155" i="25"/>
  <c r="J147" i="25"/>
  <c r="J135" i="25"/>
  <c r="J119" i="25"/>
  <c r="J111" i="25"/>
  <c r="J209" i="25"/>
  <c r="J205" i="25"/>
  <c r="J201" i="25"/>
  <c r="J197" i="25"/>
  <c r="J193" i="25"/>
  <c r="J189" i="25"/>
  <c r="J185" i="25"/>
  <c r="J181" i="25"/>
  <c r="J177" i="25"/>
  <c r="J173" i="25"/>
  <c r="J169" i="25"/>
  <c r="J165" i="25"/>
  <c r="J161" i="25"/>
  <c r="J157" i="25"/>
  <c r="J153" i="25"/>
  <c r="J149" i="25"/>
  <c r="J145" i="25"/>
  <c r="J141" i="25"/>
  <c r="J137" i="25"/>
  <c r="J133" i="25"/>
  <c r="J129" i="25"/>
  <c r="J125" i="25"/>
  <c r="J121" i="25"/>
  <c r="J117" i="25"/>
  <c r="J113" i="25"/>
  <c r="J110" i="25"/>
  <c r="BI110" i="25" s="1"/>
  <c r="J203" i="25"/>
  <c r="J195" i="25"/>
  <c r="J191" i="25"/>
  <c r="J187" i="25"/>
  <c r="J175" i="25"/>
  <c r="J159" i="25"/>
  <c r="J139" i="25"/>
  <c r="J127" i="25"/>
  <c r="J208" i="25"/>
  <c r="J204" i="25"/>
  <c r="J200" i="25"/>
  <c r="J196" i="25"/>
  <c r="J192" i="25"/>
  <c r="J188" i="25"/>
  <c r="J184" i="25"/>
  <c r="J180" i="25"/>
  <c r="J176" i="25"/>
  <c r="J172" i="25"/>
  <c r="J168" i="25"/>
  <c r="J164" i="25"/>
  <c r="J160" i="25"/>
  <c r="J156" i="25"/>
  <c r="J152" i="25"/>
  <c r="J148" i="25"/>
  <c r="J144" i="25"/>
  <c r="J140" i="25"/>
  <c r="J136" i="25"/>
  <c r="J132" i="25"/>
  <c r="J128" i="25"/>
  <c r="J124" i="25"/>
  <c r="J120" i="25"/>
  <c r="J116" i="25"/>
  <c r="J112" i="25"/>
  <c r="J199" i="25"/>
  <c r="J183" i="25"/>
  <c r="J171" i="25"/>
  <c r="J163" i="25"/>
  <c r="J151" i="25"/>
  <c r="J143" i="25"/>
  <c r="J131" i="25"/>
  <c r="J123" i="25"/>
  <c r="J115" i="25"/>
  <c r="B14" i="2"/>
  <c r="H110" i="25"/>
  <c r="AH110" i="25" s="1"/>
  <c r="H5" i="25"/>
  <c r="AH5" i="25" s="1"/>
  <c r="H216" i="25"/>
  <c r="AH216" i="25" s="1"/>
  <c r="L105" i="25"/>
  <c r="L101" i="25"/>
  <c r="L97" i="25"/>
  <c r="L93" i="25"/>
  <c r="N104" i="25"/>
  <c r="N96" i="25"/>
  <c r="N93" i="25"/>
  <c r="N83" i="25"/>
  <c r="N75" i="25"/>
  <c r="N67" i="25"/>
  <c r="N59" i="25"/>
  <c r="N51" i="25"/>
  <c r="N43" i="25"/>
  <c r="L37" i="25"/>
  <c r="N31" i="25"/>
  <c r="N23" i="25"/>
  <c r="N15" i="25"/>
  <c r="L84" i="25"/>
  <c r="L64" i="25"/>
  <c r="L48" i="25"/>
  <c r="L28" i="25"/>
  <c r="L12" i="25"/>
  <c r="L8" i="25"/>
  <c r="N99" i="25"/>
  <c r="N86" i="25"/>
  <c r="N78" i="25"/>
  <c r="N70" i="25"/>
  <c r="N50" i="25"/>
  <c r="N38" i="25"/>
  <c r="N34" i="25"/>
  <c r="N18" i="25"/>
  <c r="N95" i="25"/>
  <c r="L83" i="25"/>
  <c r="L75" i="25"/>
  <c r="L67" i="25"/>
  <c r="L104" i="25"/>
  <c r="L100" i="25"/>
  <c r="L96" i="25"/>
  <c r="L92" i="25"/>
  <c r="N102" i="25"/>
  <c r="N94" i="25"/>
  <c r="L90" i="25"/>
  <c r="L82" i="25"/>
  <c r="L74" i="25"/>
  <c r="L66" i="25"/>
  <c r="L58" i="25"/>
  <c r="L50" i="25"/>
  <c r="L42" i="25"/>
  <c r="L36" i="25"/>
  <c r="L30" i="25"/>
  <c r="L22" i="25"/>
  <c r="L14" i="25"/>
  <c r="N81" i="25"/>
  <c r="L60" i="25"/>
  <c r="N45" i="25"/>
  <c r="N21" i="25"/>
  <c r="L11" i="25"/>
  <c r="L7" i="25"/>
  <c r="N91" i="25"/>
  <c r="L102" i="25"/>
  <c r="L98" i="25"/>
  <c r="L94" i="25"/>
  <c r="N98" i="25"/>
  <c r="N101" i="25"/>
  <c r="L86" i="25"/>
  <c r="L78" i="25"/>
  <c r="L70" i="25"/>
  <c r="L62" i="25"/>
  <c r="L54" i="25"/>
  <c r="L46" i="25"/>
  <c r="L38" i="25"/>
  <c r="L34" i="25"/>
  <c r="L26" i="25"/>
  <c r="L18" i="25"/>
  <c r="N89" i="25"/>
  <c r="N69" i="25"/>
  <c r="L52" i="25"/>
  <c r="N41" i="25"/>
  <c r="N13" i="25"/>
  <c r="L9" i="25"/>
  <c r="L5" i="25"/>
  <c r="L89" i="25"/>
  <c r="L99" i="25"/>
  <c r="N71" i="25"/>
  <c r="N39" i="25"/>
  <c r="N97" i="25"/>
  <c r="L16" i="25"/>
  <c r="L85" i="25"/>
  <c r="N74" i="25"/>
  <c r="L53" i="25"/>
  <c r="N37" i="25"/>
  <c r="N26" i="25"/>
  <c r="L87" i="25"/>
  <c r="N76" i="25"/>
  <c r="N64" i="25"/>
  <c r="N56" i="25"/>
  <c r="N48" i="25"/>
  <c r="N40" i="25"/>
  <c r="N28" i="25"/>
  <c r="N20" i="25"/>
  <c r="N12" i="25"/>
  <c r="N8" i="25"/>
  <c r="N105" i="25"/>
  <c r="N77" i="25"/>
  <c r="N65" i="25"/>
  <c r="N49" i="25"/>
  <c r="N29" i="25"/>
  <c r="N17" i="25"/>
  <c r="L61" i="25"/>
  <c r="L41" i="25"/>
  <c r="L21" i="25"/>
  <c r="N11" i="25"/>
  <c r="L88" i="25"/>
  <c r="N61" i="25"/>
  <c r="N25" i="25"/>
  <c r="N66" i="25"/>
  <c r="L57" i="25"/>
  <c r="L17" i="25"/>
  <c r="L91" i="25"/>
  <c r="N100" i="25"/>
  <c r="N27" i="25"/>
  <c r="N53" i="25"/>
  <c r="L81" i="25"/>
  <c r="N35" i="25"/>
  <c r="N14" i="25"/>
  <c r="N80" i="25"/>
  <c r="N60" i="25"/>
  <c r="N44" i="25"/>
  <c r="N24" i="25"/>
  <c r="N10" i="25"/>
  <c r="N85" i="25"/>
  <c r="N33" i="25"/>
  <c r="L65" i="25"/>
  <c r="L29" i="25"/>
  <c r="L95" i="25"/>
  <c r="N63" i="25"/>
  <c r="L35" i="25"/>
  <c r="L72" i="25"/>
  <c r="L10" i="25"/>
  <c r="N82" i="25"/>
  <c r="L73" i="25"/>
  <c r="N46" i="25"/>
  <c r="N36" i="25"/>
  <c r="N22" i="25"/>
  <c r="N84" i="25"/>
  <c r="N72" i="25"/>
  <c r="L63" i="25"/>
  <c r="L55" i="25"/>
  <c r="L47" i="25"/>
  <c r="L39" i="25"/>
  <c r="L27" i="25"/>
  <c r="L19" i="25"/>
  <c r="N7" i="25"/>
  <c r="T7" i="25" s="1"/>
  <c r="L76" i="25"/>
  <c r="L40" i="25"/>
  <c r="L33" i="25"/>
  <c r="N87" i="25"/>
  <c r="L6" i="25"/>
  <c r="L45" i="25"/>
  <c r="N103" i="25"/>
  <c r="N52" i="25"/>
  <c r="N16" i="25"/>
  <c r="N73" i="25"/>
  <c r="L24" i="25"/>
  <c r="L13" i="25"/>
  <c r="L103" i="25"/>
  <c r="N92" i="25"/>
  <c r="N79" i="25"/>
  <c r="N47" i="25"/>
  <c r="N19" i="25"/>
  <c r="L44" i="25"/>
  <c r="N90" i="25"/>
  <c r="L77" i="25"/>
  <c r="N58" i="25"/>
  <c r="N42" i="25"/>
  <c r="N30" i="25"/>
  <c r="N88" i="25"/>
  <c r="L79" i="25"/>
  <c r="N68" i="25"/>
  <c r="L59" i="25"/>
  <c r="L51" i="25"/>
  <c r="L43" i="25"/>
  <c r="L31" i="25"/>
  <c r="L23" i="25"/>
  <c r="L15" i="25"/>
  <c r="N9" i="25"/>
  <c r="N5" i="25"/>
  <c r="L80" i="25"/>
  <c r="L68" i="25"/>
  <c r="L56" i="25"/>
  <c r="L32" i="25"/>
  <c r="L20" i="25"/>
  <c r="N62" i="25"/>
  <c r="L49" i="25"/>
  <c r="L25" i="25"/>
  <c r="N55" i="25"/>
  <c r="L69" i="25"/>
  <c r="L71" i="25"/>
  <c r="N32" i="25"/>
  <c r="N6" i="25"/>
  <c r="T6" i="25" s="1"/>
  <c r="N57" i="25"/>
  <c r="N54" i="25"/>
  <c r="J313" i="25"/>
  <c r="J309" i="25"/>
  <c r="J305" i="25"/>
  <c r="J301" i="25"/>
  <c r="J297" i="25"/>
  <c r="J293" i="25"/>
  <c r="J289" i="25"/>
  <c r="J285" i="25"/>
  <c r="J281" i="25"/>
  <c r="J277" i="25"/>
  <c r="J273" i="25"/>
  <c r="J269" i="25"/>
  <c r="J265" i="25"/>
  <c r="J261" i="25"/>
  <c r="J257" i="25"/>
  <c r="J253" i="25"/>
  <c r="J249" i="25"/>
  <c r="J245" i="25"/>
  <c r="J241" i="25"/>
  <c r="J237" i="25"/>
  <c r="J233" i="25"/>
  <c r="J229" i="25"/>
  <c r="J225" i="25"/>
  <c r="J221" i="25"/>
  <c r="J217" i="25"/>
  <c r="J316" i="25"/>
  <c r="J312" i="25"/>
  <c r="J308" i="25"/>
  <c r="J304" i="25"/>
  <c r="J300" i="25"/>
  <c r="J296" i="25"/>
  <c r="J292" i="25"/>
  <c r="J288" i="25"/>
  <c r="J284" i="25"/>
  <c r="J280" i="25"/>
  <c r="J276" i="25"/>
  <c r="J272" i="25"/>
  <c r="J268" i="25"/>
  <c r="J264" i="25"/>
  <c r="J260" i="25"/>
  <c r="J256" i="25"/>
  <c r="J252" i="25"/>
  <c r="J248" i="25"/>
  <c r="J244" i="25"/>
  <c r="J240" i="25"/>
  <c r="J236" i="25"/>
  <c r="J232" i="25"/>
  <c r="J228" i="25"/>
  <c r="J224" i="25"/>
  <c r="J220" i="25"/>
  <c r="J315" i="25"/>
  <c r="J311" i="25"/>
  <c r="J307" i="25"/>
  <c r="J303" i="25"/>
  <c r="J299" i="25"/>
  <c r="J295" i="25"/>
  <c r="J291" i="25"/>
  <c r="J287" i="25"/>
  <c r="J283" i="25"/>
  <c r="J279" i="25"/>
  <c r="J275" i="25"/>
  <c r="J271" i="25"/>
  <c r="J267" i="25"/>
  <c r="J263" i="25"/>
  <c r="J259" i="25"/>
  <c r="J255" i="25"/>
  <c r="J251" i="25"/>
  <c r="J247" i="25"/>
  <c r="J243" i="25"/>
  <c r="J239" i="25"/>
  <c r="J235" i="25"/>
  <c r="J231" i="25"/>
  <c r="J227" i="25"/>
  <c r="J223" i="25"/>
  <c r="J219" i="25"/>
  <c r="J216" i="25"/>
  <c r="J314" i="25"/>
  <c r="J310" i="25"/>
  <c r="J306" i="25"/>
  <c r="J302" i="25"/>
  <c r="J298" i="25"/>
  <c r="J294" i="25"/>
  <c r="J290" i="25"/>
  <c r="J286" i="25"/>
  <c r="J282" i="25"/>
  <c r="J266" i="25"/>
  <c r="J250" i="25"/>
  <c r="J234" i="25"/>
  <c r="J218" i="25"/>
  <c r="J278" i="25"/>
  <c r="J262" i="25"/>
  <c r="J246" i="25"/>
  <c r="J230" i="25"/>
  <c r="J274" i="25"/>
  <c r="J258" i="25"/>
  <c r="J242" i="25"/>
  <c r="J226" i="25"/>
  <c r="J270" i="25"/>
  <c r="J254" i="25"/>
  <c r="J238" i="25"/>
  <c r="J222" i="25"/>
  <c r="B63" i="2"/>
  <c r="B62" i="2"/>
  <c r="B161" i="2"/>
  <c r="E26" i="1" s="1"/>
  <c r="BK105" i="24"/>
  <c r="BK65" i="24"/>
  <c r="BK25" i="24"/>
  <c r="BK100" i="24"/>
  <c r="BK84" i="24"/>
  <c r="BK68" i="24"/>
  <c r="BK52" i="24"/>
  <c r="BK36" i="24"/>
  <c r="BK20" i="24"/>
  <c r="BK97" i="24"/>
  <c r="BK37" i="24"/>
  <c r="BK95" i="24"/>
  <c r="BK79" i="24"/>
  <c r="BK63" i="24"/>
  <c r="BK47" i="24"/>
  <c r="BK31" i="24"/>
  <c r="BK15" i="24"/>
  <c r="BK89" i="24"/>
  <c r="BK45" i="24"/>
  <c r="BK98" i="24"/>
  <c r="BK82" i="24"/>
  <c r="BK66" i="24"/>
  <c r="BK50" i="24"/>
  <c r="BK34" i="24"/>
  <c r="BK18" i="24"/>
  <c r="BK78" i="24"/>
  <c r="BK46" i="24"/>
  <c r="BK30" i="24"/>
  <c r="BK83" i="24"/>
  <c r="BK19" i="24"/>
  <c r="BK102" i="24"/>
  <c r="BK70" i="24"/>
  <c r="BK22" i="24"/>
  <c r="BK93" i="24"/>
  <c r="BK49" i="24"/>
  <c r="BK13" i="24"/>
  <c r="BK96" i="24"/>
  <c r="BK80" i="24"/>
  <c r="BK64" i="24"/>
  <c r="BK48" i="24"/>
  <c r="BK32" i="24"/>
  <c r="BK16" i="24"/>
  <c r="BK81" i="24"/>
  <c r="BK21" i="24"/>
  <c r="BK91" i="24"/>
  <c r="BK75" i="24"/>
  <c r="BK59" i="24"/>
  <c r="BK43" i="24"/>
  <c r="BK27" i="24"/>
  <c r="BK11" i="24"/>
  <c r="BK77" i="24"/>
  <c r="BK33" i="24"/>
  <c r="BK94" i="24"/>
  <c r="BK62" i="24"/>
  <c r="BK14" i="24"/>
  <c r="BK51" i="24"/>
  <c r="BK53" i="24"/>
  <c r="BK54" i="24"/>
  <c r="BK85" i="24"/>
  <c r="BK41" i="24"/>
  <c r="BK9" i="24"/>
  <c r="BK92" i="24"/>
  <c r="BK76" i="24"/>
  <c r="BK60" i="24"/>
  <c r="BK44" i="24"/>
  <c r="BK28" i="24"/>
  <c r="BK12" i="24"/>
  <c r="BK69" i="24"/>
  <c r="BK103" i="24"/>
  <c r="BK87" i="24"/>
  <c r="BK71" i="24"/>
  <c r="BK55" i="24"/>
  <c r="BK39" i="24"/>
  <c r="BK23" i="24"/>
  <c r="BK7" i="24"/>
  <c r="BK61" i="24"/>
  <c r="BK17" i="24"/>
  <c r="BK90" i="24"/>
  <c r="BK74" i="24"/>
  <c r="BK58" i="24"/>
  <c r="BK42" i="24"/>
  <c r="BK26" i="24"/>
  <c r="BK10" i="24"/>
  <c r="BK73" i="24"/>
  <c r="BK29" i="24"/>
  <c r="BK104" i="24"/>
  <c r="BK88" i="24"/>
  <c r="BK72" i="24"/>
  <c r="BK56" i="24"/>
  <c r="BK40" i="24"/>
  <c r="BK24" i="24"/>
  <c r="BK8" i="24"/>
  <c r="BK57" i="24"/>
  <c r="BK99" i="24"/>
  <c r="BK67" i="24"/>
  <c r="BK35" i="24"/>
  <c r="BK101" i="24"/>
  <c r="BK86" i="24"/>
  <c r="BK38" i="24"/>
  <c r="BK6" i="24"/>
  <c r="B182" i="2"/>
  <c r="BK5" i="24"/>
  <c r="B178" i="2"/>
  <c r="B30" i="2"/>
  <c r="AW2" i="25" s="1"/>
  <c r="B125" i="2"/>
  <c r="I113" i="24"/>
  <c r="I117" i="24"/>
  <c r="I121" i="24"/>
  <c r="I125" i="24"/>
  <c r="I129" i="24"/>
  <c r="I133" i="24"/>
  <c r="I137" i="24"/>
  <c r="I141" i="24"/>
  <c r="I145" i="24"/>
  <c r="I149" i="24"/>
  <c r="I153" i="24"/>
  <c r="I157" i="24"/>
  <c r="I161" i="24"/>
  <c r="I165" i="24"/>
  <c r="I169" i="24"/>
  <c r="I173" i="24"/>
  <c r="I177" i="24"/>
  <c r="I181" i="24"/>
  <c r="I185" i="24"/>
  <c r="I189" i="24"/>
  <c r="I193" i="24"/>
  <c r="I197" i="24"/>
  <c r="I201" i="24"/>
  <c r="I205" i="24"/>
  <c r="I209" i="24"/>
  <c r="I114" i="24"/>
  <c r="I118" i="24"/>
  <c r="I122" i="24"/>
  <c r="I126" i="24"/>
  <c r="I130" i="24"/>
  <c r="I134" i="24"/>
  <c r="I138" i="24"/>
  <c r="I116" i="24"/>
  <c r="I124" i="24"/>
  <c r="I132" i="24"/>
  <c r="I140" i="24"/>
  <c r="I146" i="24"/>
  <c r="I151" i="24"/>
  <c r="I156" i="24"/>
  <c r="I162" i="24"/>
  <c r="I167" i="24"/>
  <c r="I172" i="24"/>
  <c r="I178" i="24"/>
  <c r="I183" i="24"/>
  <c r="I188" i="24"/>
  <c r="I194" i="24"/>
  <c r="I199" i="24"/>
  <c r="I204" i="24"/>
  <c r="I210" i="24"/>
  <c r="I111" i="24"/>
  <c r="I119" i="24"/>
  <c r="I127" i="24"/>
  <c r="I135" i="24"/>
  <c r="I142" i="24"/>
  <c r="I147" i="24"/>
  <c r="I152" i="24"/>
  <c r="I158" i="24"/>
  <c r="I163" i="24"/>
  <c r="I168" i="24"/>
  <c r="I174" i="24"/>
  <c r="I179" i="24"/>
  <c r="I184" i="24"/>
  <c r="I190" i="24"/>
  <c r="I195" i="24"/>
  <c r="I200" i="24"/>
  <c r="I206" i="24"/>
  <c r="I110" i="24"/>
  <c r="BK110" i="24" s="1"/>
  <c r="I112" i="24"/>
  <c r="I120" i="24"/>
  <c r="I128" i="24"/>
  <c r="I136" i="24"/>
  <c r="I143" i="24"/>
  <c r="I148" i="24"/>
  <c r="I154" i="24"/>
  <c r="I159" i="24"/>
  <c r="I164" i="24"/>
  <c r="I170" i="24"/>
  <c r="I175" i="24"/>
  <c r="I180" i="24"/>
  <c r="I186" i="24"/>
  <c r="I191" i="24"/>
  <c r="I196" i="24"/>
  <c r="I202" i="24"/>
  <c r="I207" i="24"/>
  <c r="I115" i="24"/>
  <c r="I123" i="24"/>
  <c r="I131" i="24"/>
  <c r="I139" i="24"/>
  <c r="I144" i="24"/>
  <c r="I150" i="24"/>
  <c r="I155" i="24"/>
  <c r="I160" i="24"/>
  <c r="I166" i="24"/>
  <c r="I171" i="24"/>
  <c r="I176" i="24"/>
  <c r="I182" i="24"/>
  <c r="I187" i="24"/>
  <c r="I192" i="24"/>
  <c r="I198" i="24"/>
  <c r="I203" i="24"/>
  <c r="I208" i="24"/>
  <c r="H216" i="24"/>
  <c r="H110" i="24"/>
  <c r="I217" i="24"/>
  <c r="I221" i="24"/>
  <c r="I225" i="24"/>
  <c r="I229" i="24"/>
  <c r="I233" i="24"/>
  <c r="I237" i="24"/>
  <c r="I241" i="24"/>
  <c r="I245" i="24"/>
  <c r="I249" i="24"/>
  <c r="I253" i="24"/>
  <c r="I257" i="24"/>
  <c r="I261" i="24"/>
  <c r="I265" i="24"/>
  <c r="I269" i="24"/>
  <c r="I273" i="24"/>
  <c r="I277" i="24"/>
  <c r="I281" i="24"/>
  <c r="I285" i="24"/>
  <c r="I289" i="24"/>
  <c r="I293" i="24"/>
  <c r="I297" i="24"/>
  <c r="I301" i="24"/>
  <c r="I305" i="24"/>
  <c r="I309" i="24"/>
  <c r="I313" i="24"/>
  <c r="I216" i="24"/>
  <c r="I219" i="24"/>
  <c r="I235" i="24"/>
  <c r="I243" i="24"/>
  <c r="I251" i="24"/>
  <c r="I259" i="24"/>
  <c r="I267" i="24"/>
  <c r="I275" i="24"/>
  <c r="I283" i="24"/>
  <c r="I291" i="24"/>
  <c r="I299" i="24"/>
  <c r="I303" i="24"/>
  <c r="I311" i="24"/>
  <c r="I224" i="24"/>
  <c r="I232" i="24"/>
  <c r="I240" i="24"/>
  <c r="I248" i="24"/>
  <c r="I256" i="24"/>
  <c r="I264" i="24"/>
  <c r="I272" i="24"/>
  <c r="I280" i="24"/>
  <c r="I288" i="24"/>
  <c r="I296" i="24"/>
  <c r="I300" i="24"/>
  <c r="I308" i="24"/>
  <c r="I218" i="24"/>
  <c r="I222" i="24"/>
  <c r="I226" i="24"/>
  <c r="I230" i="24"/>
  <c r="I234" i="24"/>
  <c r="I238" i="24"/>
  <c r="I242" i="24"/>
  <c r="I246" i="24"/>
  <c r="I250" i="24"/>
  <c r="I254" i="24"/>
  <c r="I258" i="24"/>
  <c r="I262" i="24"/>
  <c r="I266" i="24"/>
  <c r="I270" i="24"/>
  <c r="I274" i="24"/>
  <c r="I278" i="24"/>
  <c r="I282" i="24"/>
  <c r="I286" i="24"/>
  <c r="I290" i="24"/>
  <c r="I294" i="24"/>
  <c r="I298" i="24"/>
  <c r="I302" i="24"/>
  <c r="I306" i="24"/>
  <c r="I310" i="24"/>
  <c r="I314" i="24"/>
  <c r="I223" i="24"/>
  <c r="I227" i="24"/>
  <c r="I231" i="24"/>
  <c r="I239" i="24"/>
  <c r="I247" i="24"/>
  <c r="I255" i="24"/>
  <c r="I263" i="24"/>
  <c r="I271" i="24"/>
  <c r="I279" i="24"/>
  <c r="I287" i="24"/>
  <c r="I295" i="24"/>
  <c r="I307" i="24"/>
  <c r="I315" i="24"/>
  <c r="I220" i="24"/>
  <c r="I228" i="24"/>
  <c r="I236" i="24"/>
  <c r="I244" i="24"/>
  <c r="I252" i="24"/>
  <c r="I260" i="24"/>
  <c r="I268" i="24"/>
  <c r="I276" i="24"/>
  <c r="I284" i="24"/>
  <c r="I292" i="24"/>
  <c r="I304" i="24"/>
  <c r="I312" i="24"/>
  <c r="I316" i="24"/>
  <c r="E15" i="23"/>
  <c r="R15" i="23" s="1"/>
  <c r="E23" i="23"/>
  <c r="R23" i="23" s="1"/>
  <c r="E31" i="23"/>
  <c r="R31" i="23" s="1"/>
  <c r="E39" i="23"/>
  <c r="R39" i="23" s="1"/>
  <c r="E47" i="23"/>
  <c r="R47" i="23" s="1"/>
  <c r="E55" i="23"/>
  <c r="R55" i="23" s="1"/>
  <c r="E63" i="23"/>
  <c r="R63" i="23" s="1"/>
  <c r="E71" i="23"/>
  <c r="R71" i="23" s="1"/>
  <c r="E79" i="23"/>
  <c r="R79" i="23" s="1"/>
  <c r="E87" i="23"/>
  <c r="R87" i="23" s="1"/>
  <c r="E95" i="23"/>
  <c r="R95" i="23" s="1"/>
  <c r="E103" i="23"/>
  <c r="R103" i="23" s="1"/>
  <c r="E20" i="23"/>
  <c r="R20" i="23" s="1"/>
  <c r="E44" i="23"/>
  <c r="R44" i="23" s="1"/>
  <c r="E68" i="23"/>
  <c r="R68" i="23" s="1"/>
  <c r="E84" i="23"/>
  <c r="R84" i="23" s="1"/>
  <c r="E7" i="23"/>
  <c r="R7" i="23" s="1"/>
  <c r="E16" i="23"/>
  <c r="R16" i="23" s="1"/>
  <c r="E24" i="23"/>
  <c r="R24" i="23" s="1"/>
  <c r="E32" i="23"/>
  <c r="R32" i="23" s="1"/>
  <c r="E40" i="23"/>
  <c r="R40" i="23" s="1"/>
  <c r="E48" i="23"/>
  <c r="R48" i="23" s="1"/>
  <c r="E56" i="23"/>
  <c r="R56" i="23" s="1"/>
  <c r="E64" i="23"/>
  <c r="R64" i="23" s="1"/>
  <c r="E72" i="23"/>
  <c r="R72" i="23" s="1"/>
  <c r="E80" i="23"/>
  <c r="R80" i="23" s="1"/>
  <c r="E88" i="23"/>
  <c r="R88" i="23" s="1"/>
  <c r="E96" i="23"/>
  <c r="R96" i="23" s="1"/>
  <c r="E104" i="23"/>
  <c r="R104" i="23" s="1"/>
  <c r="E28" i="23"/>
  <c r="R28" i="23" s="1"/>
  <c r="E60" i="23"/>
  <c r="R60" i="23" s="1"/>
  <c r="E92" i="23"/>
  <c r="R92" i="23" s="1"/>
  <c r="E11" i="23"/>
  <c r="R11" i="23" s="1"/>
  <c r="E19" i="23"/>
  <c r="R19" i="23" s="1"/>
  <c r="E27" i="23"/>
  <c r="R27" i="23" s="1"/>
  <c r="E35" i="23"/>
  <c r="R35" i="23" s="1"/>
  <c r="E43" i="23"/>
  <c r="R43" i="23" s="1"/>
  <c r="E51" i="23"/>
  <c r="R51" i="23" s="1"/>
  <c r="E59" i="23"/>
  <c r="R59" i="23" s="1"/>
  <c r="E67" i="23"/>
  <c r="R67" i="23" s="1"/>
  <c r="E75" i="23"/>
  <c r="R75" i="23" s="1"/>
  <c r="E83" i="23"/>
  <c r="R83" i="23" s="1"/>
  <c r="E91" i="23"/>
  <c r="R91" i="23" s="1"/>
  <c r="E99" i="23"/>
  <c r="R99" i="23" s="1"/>
  <c r="E6" i="23"/>
  <c r="R6" i="23" s="1"/>
  <c r="E12" i="23"/>
  <c r="R12" i="23" s="1"/>
  <c r="E36" i="23"/>
  <c r="R36" i="23" s="1"/>
  <c r="E52" i="23"/>
  <c r="R52" i="23" s="1"/>
  <c r="E76" i="23"/>
  <c r="R76" i="23" s="1"/>
  <c r="E100" i="23"/>
  <c r="R100" i="23" s="1"/>
  <c r="K16" i="24"/>
  <c r="M58" i="24"/>
  <c r="N58" i="24" s="1"/>
  <c r="M42" i="24"/>
  <c r="N42" i="24" s="1"/>
  <c r="M26" i="24"/>
  <c r="N26" i="24" s="1"/>
  <c r="K10" i="24"/>
  <c r="K45" i="24"/>
  <c r="K29" i="24"/>
  <c r="M7" i="24"/>
  <c r="N7" i="24" s="1"/>
  <c r="M54" i="24"/>
  <c r="N54" i="24" s="1"/>
  <c r="M38" i="24"/>
  <c r="N38" i="24" s="1"/>
  <c r="K22" i="24"/>
  <c r="M6" i="24"/>
  <c r="N6" i="24" s="1"/>
  <c r="K57" i="24"/>
  <c r="K41" i="24"/>
  <c r="K25" i="24"/>
  <c r="K20" i="24"/>
  <c r="M34" i="24"/>
  <c r="N34" i="24" s="1"/>
  <c r="K12" i="24"/>
  <c r="K53" i="24"/>
  <c r="E94" i="23"/>
  <c r="R94" i="23" s="1"/>
  <c r="E78" i="23"/>
  <c r="R78" i="23" s="1"/>
  <c r="E62" i="23"/>
  <c r="R62" i="23" s="1"/>
  <c r="E46" i="23"/>
  <c r="R46" i="23" s="1"/>
  <c r="E30" i="23"/>
  <c r="R30" i="23" s="1"/>
  <c r="E14" i="23"/>
  <c r="R14" i="23" s="1"/>
  <c r="M103" i="24"/>
  <c r="N103" i="24" s="1"/>
  <c r="K98" i="24"/>
  <c r="M87" i="24"/>
  <c r="N87" i="24" s="1"/>
  <c r="K82" i="24"/>
  <c r="M96" i="24"/>
  <c r="N96" i="24" s="1"/>
  <c r="K91" i="24"/>
  <c r="K81" i="24"/>
  <c r="K101" i="24"/>
  <c r="K93" i="24"/>
  <c r="K85" i="24"/>
  <c r="M94" i="24"/>
  <c r="N94" i="24" s="1"/>
  <c r="M85" i="24"/>
  <c r="N85" i="24" s="1"/>
  <c r="K75" i="24"/>
  <c r="K70" i="24"/>
  <c r="M80" i="24"/>
  <c r="N80" i="24" s="1"/>
  <c r="K67" i="24"/>
  <c r="M89" i="24"/>
  <c r="N89" i="24" s="1"/>
  <c r="K69" i="24"/>
  <c r="K61" i="24"/>
  <c r="M55" i="24"/>
  <c r="N55" i="24" s="1"/>
  <c r="K50" i="24"/>
  <c r="M5" i="24"/>
  <c r="N5" i="24" s="1"/>
  <c r="Q5" i="24" s="1"/>
  <c r="M30" i="24"/>
  <c r="N30" i="24" s="1"/>
  <c r="K49" i="24"/>
  <c r="E106" i="23"/>
  <c r="R106" i="23" s="1"/>
  <c r="E90" i="23"/>
  <c r="R90" i="23" s="1"/>
  <c r="E74" i="23"/>
  <c r="R74" i="23" s="1"/>
  <c r="E58" i="23"/>
  <c r="R58" i="23" s="1"/>
  <c r="E42" i="23"/>
  <c r="R42" i="23" s="1"/>
  <c r="E26" i="23"/>
  <c r="R26" i="23" s="1"/>
  <c r="E9" i="23"/>
  <c r="R9" i="23" s="1"/>
  <c r="K102" i="24"/>
  <c r="M91" i="24"/>
  <c r="N91" i="24" s="1"/>
  <c r="K86" i="24"/>
  <c r="M100" i="24"/>
  <c r="N100" i="24" s="1"/>
  <c r="K95" i="24"/>
  <c r="M84" i="24"/>
  <c r="N84" i="24" s="1"/>
  <c r="M74" i="24"/>
  <c r="N74" i="24" s="1"/>
  <c r="K100" i="24"/>
  <c r="K92" i="24"/>
  <c r="K84" i="24"/>
  <c r="M75" i="24"/>
  <c r="N75" i="24" s="1"/>
  <c r="M102" i="24"/>
  <c r="N102" i="24" s="1"/>
  <c r="M93" i="24"/>
  <c r="N93" i="24" s="1"/>
  <c r="K80" i="24"/>
  <c r="M73" i="24"/>
  <c r="N73" i="24" s="1"/>
  <c r="M63" i="24"/>
  <c r="N63" i="24" s="1"/>
  <c r="M77" i="24"/>
  <c r="N77" i="24" s="1"/>
  <c r="K71" i="24"/>
  <c r="M105" i="24"/>
  <c r="N105" i="24" s="1"/>
  <c r="K68" i="24"/>
  <c r="M59" i="24"/>
  <c r="N59" i="24" s="1"/>
  <c r="K54" i="24"/>
  <c r="M50" i="24"/>
  <c r="N50" i="24" s="1"/>
  <c r="E102" i="23"/>
  <c r="R102" i="23" s="1"/>
  <c r="E70" i="23"/>
  <c r="R70" i="23" s="1"/>
  <c r="E38" i="23"/>
  <c r="R38" i="23" s="1"/>
  <c r="K8" i="24"/>
  <c r="M95" i="24"/>
  <c r="N95" i="24" s="1"/>
  <c r="K99" i="24"/>
  <c r="M88" i="24"/>
  <c r="N88" i="24" s="1"/>
  <c r="M78" i="24"/>
  <c r="N78" i="24" s="1"/>
  <c r="K97" i="24"/>
  <c r="M79" i="24"/>
  <c r="N79" i="24" s="1"/>
  <c r="M101" i="24"/>
  <c r="N101" i="24" s="1"/>
  <c r="K79" i="24"/>
  <c r="M67" i="24"/>
  <c r="N67" i="24" s="1"/>
  <c r="K58" i="24"/>
  <c r="M47" i="24"/>
  <c r="N47" i="24" s="1"/>
  <c r="M35" i="24"/>
  <c r="N35" i="24" s="1"/>
  <c r="K30" i="24"/>
  <c r="K72" i="24"/>
  <c r="M57" i="24"/>
  <c r="N57" i="24" s="1"/>
  <c r="K52" i="24"/>
  <c r="M41" i="24"/>
  <c r="N41" i="24" s="1"/>
  <c r="K36" i="24"/>
  <c r="M25" i="24"/>
  <c r="N25" i="24" s="1"/>
  <c r="K21" i="24"/>
  <c r="M10" i="24"/>
  <c r="N10" i="24" s="1"/>
  <c r="K23" i="24"/>
  <c r="M12" i="24"/>
  <c r="N12" i="24" s="1"/>
  <c r="K7" i="24"/>
  <c r="E101" i="23"/>
  <c r="R101" i="23" s="1"/>
  <c r="E85" i="23"/>
  <c r="R85" i="23" s="1"/>
  <c r="E69" i="23"/>
  <c r="R69" i="23" s="1"/>
  <c r="E53" i="23"/>
  <c r="R53" i="23" s="1"/>
  <c r="E37" i="23"/>
  <c r="R37" i="23" s="1"/>
  <c r="E21" i="23"/>
  <c r="R21" i="23" s="1"/>
  <c r="K5" i="24"/>
  <c r="M28" i="24"/>
  <c r="N28" i="24" s="1"/>
  <c r="M36" i="24"/>
  <c r="N36" i="24" s="1"/>
  <c r="M44" i="24"/>
  <c r="N44" i="24" s="1"/>
  <c r="M52" i="24"/>
  <c r="N52" i="24" s="1"/>
  <c r="M60" i="24"/>
  <c r="N60" i="24" s="1"/>
  <c r="K18" i="24"/>
  <c r="E86" i="23"/>
  <c r="R86" i="23" s="1"/>
  <c r="E22" i="23"/>
  <c r="R22" i="23" s="1"/>
  <c r="M104" i="24"/>
  <c r="N104" i="24" s="1"/>
  <c r="K83" i="24"/>
  <c r="K105" i="24"/>
  <c r="K74" i="24"/>
  <c r="M72" i="24"/>
  <c r="N72" i="24" s="1"/>
  <c r="M64" i="24"/>
  <c r="N64" i="24" s="1"/>
  <c r="K65" i="24"/>
  <c r="M43" i="24"/>
  <c r="N43" i="24" s="1"/>
  <c r="K60" i="24"/>
  <c r="M49" i="24"/>
  <c r="N49" i="24" s="1"/>
  <c r="K28" i="24"/>
  <c r="M62" i="24"/>
  <c r="N62" i="24" s="1"/>
  <c r="K13" i="24"/>
  <c r="M20" i="24"/>
  <c r="N20" i="24" s="1"/>
  <c r="E93" i="23"/>
  <c r="R93" i="23" s="1"/>
  <c r="E77" i="23"/>
  <c r="R77" i="23" s="1"/>
  <c r="E45" i="23"/>
  <c r="R45" i="23" s="1"/>
  <c r="E13" i="23"/>
  <c r="R13" i="23" s="1"/>
  <c r="M24" i="24"/>
  <c r="N24" i="24" s="1"/>
  <c r="M40" i="24"/>
  <c r="N40" i="24" s="1"/>
  <c r="M56" i="24"/>
  <c r="N56" i="24" s="1"/>
  <c r="K14" i="24"/>
  <c r="E82" i="23"/>
  <c r="R82" i="23" s="1"/>
  <c r="E50" i="23"/>
  <c r="R50" i="23" s="1"/>
  <c r="M92" i="24"/>
  <c r="N92" i="24" s="1"/>
  <c r="K104" i="24"/>
  <c r="M86" i="24"/>
  <c r="N86" i="24" s="1"/>
  <c r="K64" i="24"/>
  <c r="K42" i="24"/>
  <c r="K26" i="24"/>
  <c r="M53" i="24"/>
  <c r="N53" i="24" s="1"/>
  <c r="M37" i="24"/>
  <c r="N37" i="24" s="1"/>
  <c r="K17" i="24"/>
  <c r="M66" i="24"/>
  <c r="N66" i="24" s="1"/>
  <c r="M8" i="24"/>
  <c r="N8" i="24" s="1"/>
  <c r="E89" i="23"/>
  <c r="R89" i="23" s="1"/>
  <c r="E57" i="23"/>
  <c r="R57" i="23" s="1"/>
  <c r="E25" i="23"/>
  <c r="R25" i="23" s="1"/>
  <c r="M9" i="24"/>
  <c r="N9" i="24" s="1"/>
  <c r="M17" i="24"/>
  <c r="N17" i="24" s="1"/>
  <c r="K27" i="24"/>
  <c r="K43" i="24"/>
  <c r="M69" i="24"/>
  <c r="N69" i="24" s="1"/>
  <c r="M46" i="24"/>
  <c r="N46" i="24" s="1"/>
  <c r="E98" i="23"/>
  <c r="R98" i="23" s="1"/>
  <c r="E66" i="23"/>
  <c r="R66" i="23" s="1"/>
  <c r="E34" i="23"/>
  <c r="R34" i="23" s="1"/>
  <c r="K94" i="24"/>
  <c r="M83" i="24"/>
  <c r="N83" i="24" s="1"/>
  <c r="K87" i="24"/>
  <c r="K77" i="24"/>
  <c r="K96" i="24"/>
  <c r="K78" i="24"/>
  <c r="K76" i="24"/>
  <c r="K66" i="24"/>
  <c r="M81" i="24"/>
  <c r="N81" i="24" s="1"/>
  <c r="M68" i="24"/>
  <c r="N68" i="24" s="1"/>
  <c r="M98" i="24"/>
  <c r="N98" i="24" s="1"/>
  <c r="K73" i="24"/>
  <c r="K46" i="24"/>
  <c r="M39" i="24"/>
  <c r="N39" i="24" s="1"/>
  <c r="K34" i="24"/>
  <c r="M97" i="24"/>
  <c r="N97" i="24" s="1"/>
  <c r="K56" i="24"/>
  <c r="M45" i="24"/>
  <c r="N45" i="24" s="1"/>
  <c r="K40" i="24"/>
  <c r="M29" i="24"/>
  <c r="N29" i="24" s="1"/>
  <c r="K24" i="24"/>
  <c r="M70" i="24"/>
  <c r="N70" i="24" s="1"/>
  <c r="M14" i="24"/>
  <c r="N14" i="24" s="1"/>
  <c r="K9" i="24"/>
  <c r="M16" i="24"/>
  <c r="N16" i="24" s="1"/>
  <c r="K11" i="24"/>
  <c r="E97" i="23"/>
  <c r="R97" i="23" s="1"/>
  <c r="E81" i="23"/>
  <c r="R81" i="23" s="1"/>
  <c r="E65" i="23"/>
  <c r="R65" i="23" s="1"/>
  <c r="E49" i="23"/>
  <c r="R49" i="23" s="1"/>
  <c r="E33" i="23"/>
  <c r="R33" i="23" s="1"/>
  <c r="E17" i="23"/>
  <c r="R17" i="23" s="1"/>
  <c r="K6" i="24"/>
  <c r="M11" i="24"/>
  <c r="N11" i="24" s="1"/>
  <c r="M15" i="24"/>
  <c r="N15" i="24" s="1"/>
  <c r="M19" i="24"/>
  <c r="N19" i="24" s="1"/>
  <c r="M23" i="24"/>
  <c r="N23" i="24" s="1"/>
  <c r="K31" i="24"/>
  <c r="K39" i="24"/>
  <c r="K47" i="24"/>
  <c r="K55" i="24"/>
  <c r="M61" i="24"/>
  <c r="N61" i="24" s="1"/>
  <c r="K37" i="24"/>
  <c r="E54" i="23"/>
  <c r="R54" i="23" s="1"/>
  <c r="K90" i="24"/>
  <c r="K89" i="24"/>
  <c r="K62" i="24"/>
  <c r="M76" i="24"/>
  <c r="N76" i="24" s="1"/>
  <c r="M82" i="24"/>
  <c r="N82" i="24" s="1"/>
  <c r="K38" i="24"/>
  <c r="M27" i="24"/>
  <c r="N27" i="24" s="1"/>
  <c r="K44" i="24"/>
  <c r="M33" i="24"/>
  <c r="N33" i="24" s="1"/>
  <c r="M18" i="24"/>
  <c r="N18" i="24" s="1"/>
  <c r="K15" i="24"/>
  <c r="E10" i="23"/>
  <c r="R10" i="23" s="1"/>
  <c r="E61" i="23"/>
  <c r="R61" i="23" s="1"/>
  <c r="E29" i="23"/>
  <c r="R29" i="23" s="1"/>
  <c r="M32" i="24"/>
  <c r="N32" i="24" s="1"/>
  <c r="M48" i="24"/>
  <c r="N48" i="24" s="1"/>
  <c r="M65" i="24"/>
  <c r="N65" i="24" s="1"/>
  <c r="K33" i="24"/>
  <c r="E18" i="23"/>
  <c r="R18" i="23" s="1"/>
  <c r="M99" i="24"/>
  <c r="N99" i="24" s="1"/>
  <c r="K103" i="24"/>
  <c r="K88" i="24"/>
  <c r="M71" i="24"/>
  <c r="N71" i="24" s="1"/>
  <c r="K63" i="24"/>
  <c r="M51" i="24"/>
  <c r="N51" i="24" s="1"/>
  <c r="M31" i="24"/>
  <c r="N31" i="24" s="1"/>
  <c r="M90" i="24"/>
  <c r="N90" i="24" s="1"/>
  <c r="K48" i="24"/>
  <c r="K32" i="24"/>
  <c r="M22" i="24"/>
  <c r="N22" i="24" s="1"/>
  <c r="K19" i="24"/>
  <c r="E105" i="23"/>
  <c r="R105" i="23" s="1"/>
  <c r="E73" i="23"/>
  <c r="R73" i="23" s="1"/>
  <c r="E41" i="23"/>
  <c r="R41" i="23" s="1"/>
  <c r="E8" i="23"/>
  <c r="R8" i="23" s="1"/>
  <c r="M13" i="24"/>
  <c r="N13" i="24" s="1"/>
  <c r="M21" i="24"/>
  <c r="N21" i="24" s="1"/>
  <c r="K35" i="24"/>
  <c r="K51" i="24"/>
  <c r="K59" i="24"/>
  <c r="D9" i="23"/>
  <c r="F9" i="23" s="1"/>
  <c r="D13" i="23"/>
  <c r="I13" i="23" s="1"/>
  <c r="D17" i="23"/>
  <c r="I17" i="23" s="1"/>
  <c r="D21" i="23"/>
  <c r="D25" i="23"/>
  <c r="I25" i="23" s="1"/>
  <c r="D29" i="23"/>
  <c r="D33" i="23"/>
  <c r="F33" i="23" s="1"/>
  <c r="D37" i="23"/>
  <c r="D41" i="23"/>
  <c r="F41" i="23" s="1"/>
  <c r="D45" i="23"/>
  <c r="D49" i="23"/>
  <c r="I49" i="23" s="1"/>
  <c r="D10" i="23"/>
  <c r="I10" i="23" s="1"/>
  <c r="D14" i="23"/>
  <c r="I14" i="23" s="1"/>
  <c r="D18" i="23"/>
  <c r="D22" i="23"/>
  <c r="I22" i="23" s="1"/>
  <c r="D26" i="23"/>
  <c r="D30" i="23"/>
  <c r="I30" i="23" s="1"/>
  <c r="D34" i="23"/>
  <c r="D38" i="23"/>
  <c r="F38" i="23" s="1"/>
  <c r="D42" i="23"/>
  <c r="D46" i="23"/>
  <c r="I46" i="23" s="1"/>
  <c r="D50" i="23"/>
  <c r="D54" i="23"/>
  <c r="I54" i="23" s="1"/>
  <c r="D58" i="23"/>
  <c r="D62" i="23"/>
  <c r="F62" i="23" s="1"/>
  <c r="D66" i="23"/>
  <c r="D70" i="23"/>
  <c r="F70" i="23" s="1"/>
  <c r="D74" i="23"/>
  <c r="D78" i="23"/>
  <c r="F78" i="23" s="1"/>
  <c r="D82" i="23"/>
  <c r="D86" i="23"/>
  <c r="F86" i="23" s="1"/>
  <c r="D90" i="23"/>
  <c r="D94" i="23"/>
  <c r="I94" i="23" s="1"/>
  <c r="D98" i="23"/>
  <c r="F98" i="23" s="1"/>
  <c r="D102" i="23"/>
  <c r="I102" i="23" s="1"/>
  <c r="D106" i="23"/>
  <c r="F106" i="23" s="1"/>
  <c r="D16" i="23"/>
  <c r="F16" i="23" s="1"/>
  <c r="D24" i="23"/>
  <c r="D32" i="23"/>
  <c r="I32" i="23" s="1"/>
  <c r="D40" i="23"/>
  <c r="D48" i="23"/>
  <c r="F48" i="23" s="1"/>
  <c r="D55" i="23"/>
  <c r="D60" i="23"/>
  <c r="I60" i="23" s="1"/>
  <c r="D65" i="23"/>
  <c r="I65" i="23" s="1"/>
  <c r="D71" i="23"/>
  <c r="I71" i="23" s="1"/>
  <c r="D76" i="23"/>
  <c r="F76" i="23" s="1"/>
  <c r="D81" i="23"/>
  <c r="I81" i="23" s="1"/>
  <c r="D87" i="23"/>
  <c r="D92" i="23"/>
  <c r="I92" i="23" s="1"/>
  <c r="D97" i="23"/>
  <c r="D103" i="23"/>
  <c r="I103" i="23" s="1"/>
  <c r="D7" i="23"/>
  <c r="F7" i="23" s="1"/>
  <c r="D23" i="23"/>
  <c r="F23" i="23" s="1"/>
  <c r="D39" i="23"/>
  <c r="F39" i="23" s="1"/>
  <c r="D53" i="23"/>
  <c r="I53" i="23" s="1"/>
  <c r="D64" i="23"/>
  <c r="D75" i="23"/>
  <c r="F75" i="23" s="1"/>
  <c r="D85" i="23"/>
  <c r="D96" i="23"/>
  <c r="F96" i="23" s="1"/>
  <c r="D8" i="23"/>
  <c r="D11" i="23"/>
  <c r="F11" i="23" s="1"/>
  <c r="D19" i="23"/>
  <c r="D27" i="23"/>
  <c r="F27" i="23" s="1"/>
  <c r="D35" i="23"/>
  <c r="D43" i="23"/>
  <c r="F43" i="23" s="1"/>
  <c r="D51" i="23"/>
  <c r="D56" i="23"/>
  <c r="F56" i="23" s="1"/>
  <c r="D61" i="23"/>
  <c r="I61" i="23" s="1"/>
  <c r="D67" i="23"/>
  <c r="I67" i="23" s="1"/>
  <c r="D72" i="23"/>
  <c r="D77" i="23"/>
  <c r="I77" i="23" s="1"/>
  <c r="D83" i="23"/>
  <c r="D88" i="23"/>
  <c r="I88" i="23" s="1"/>
  <c r="D93" i="23"/>
  <c r="D99" i="23"/>
  <c r="F99" i="23" s="1"/>
  <c r="D104" i="23"/>
  <c r="D6" i="23"/>
  <c r="I6" i="23" s="1"/>
  <c r="D12" i="23"/>
  <c r="I12" i="23" s="1"/>
  <c r="D20" i="23"/>
  <c r="I20" i="23" s="1"/>
  <c r="D28" i="23"/>
  <c r="D36" i="23"/>
  <c r="F36" i="23" s="1"/>
  <c r="D44" i="23"/>
  <c r="F44" i="23" s="1"/>
  <c r="D52" i="23"/>
  <c r="I52" i="23" s="1"/>
  <c r="D57" i="23"/>
  <c r="D63" i="23"/>
  <c r="I63" i="23" s="1"/>
  <c r="D68" i="23"/>
  <c r="D73" i="23"/>
  <c r="I73" i="23" s="1"/>
  <c r="D79" i="23"/>
  <c r="F79" i="23" s="1"/>
  <c r="D84" i="23"/>
  <c r="I84" i="23" s="1"/>
  <c r="D89" i="23"/>
  <c r="F89" i="23" s="1"/>
  <c r="D95" i="23"/>
  <c r="I95" i="23" s="1"/>
  <c r="D100" i="23"/>
  <c r="D105" i="23"/>
  <c r="I105" i="23" s="1"/>
  <c r="D15" i="23"/>
  <c r="D31" i="23"/>
  <c r="F31" i="23" s="1"/>
  <c r="D47" i="23"/>
  <c r="D59" i="23"/>
  <c r="F59" i="23" s="1"/>
  <c r="D69" i="23"/>
  <c r="F69" i="23" s="1"/>
  <c r="D80" i="23"/>
  <c r="I80" i="23" s="1"/>
  <c r="D91" i="23"/>
  <c r="D101" i="23"/>
  <c r="I101" i="23" s="1"/>
  <c r="B10" i="19"/>
  <c r="D10" i="19" s="1"/>
  <c r="I16" i="8"/>
  <c r="J16" i="8" s="1"/>
  <c r="D149" i="2" s="1"/>
  <c r="B150" i="2" s="1"/>
  <c r="B187" i="2"/>
  <c r="B190" i="2" s="1"/>
  <c r="B11" i="19"/>
  <c r="D11" i="19" s="1"/>
  <c r="I4" i="8" s="1"/>
  <c r="J4" i="8" s="1"/>
  <c r="B205" i="2"/>
  <c r="B3" i="8"/>
  <c r="B159" i="8" s="1"/>
  <c r="B158" i="8" s="1"/>
  <c r="B157" i="8" s="1"/>
  <c r="B156" i="8" s="1"/>
  <c r="B155" i="8" s="1"/>
  <c r="B154" i="8" s="1"/>
  <c r="B153" i="8" s="1"/>
  <c r="B152" i="8" s="1"/>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31" i="16"/>
  <c r="D3" i="8"/>
  <c r="D159" i="8" s="1"/>
  <c r="D158" i="8" s="1"/>
  <c r="D157" i="8" s="1"/>
  <c r="D156" i="8" s="1"/>
  <c r="D155" i="8" s="1"/>
  <c r="D154" i="8" s="1"/>
  <c r="D153" i="8" s="1"/>
  <c r="D152" i="8" s="1"/>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9" i="8"/>
  <c r="E158" i="8" s="1"/>
  <c r="E157" i="8" s="1"/>
  <c r="E156" i="8" s="1"/>
  <c r="E155" i="8" s="1"/>
  <c r="E154" i="8" s="1"/>
  <c r="E153" i="8" s="1"/>
  <c r="E152" i="8" s="1"/>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B206" i="2"/>
  <c r="S53" i="2"/>
  <c r="D33" i="16" s="1"/>
  <c r="B200" i="2"/>
  <c r="I50" i="2"/>
  <c r="C3" i="8"/>
  <c r="C159" i="8" s="1"/>
  <c r="C158" i="8" s="1"/>
  <c r="G35" i="16"/>
  <c r="A200" i="2"/>
  <c r="F27" i="1"/>
  <c r="B9" i="19"/>
  <c r="D9" i="19" s="1"/>
  <c r="B17" i="19"/>
  <c r="D17" i="19" s="1"/>
  <c r="B189" i="2"/>
  <c r="B188" i="2"/>
  <c r="B13" i="2"/>
  <c r="N131" i="25" l="1"/>
  <c r="BI131" i="25"/>
  <c r="L116" i="25"/>
  <c r="BI116" i="25"/>
  <c r="L164" i="25"/>
  <c r="BI164" i="25"/>
  <c r="N157" i="25"/>
  <c r="O157" i="25" s="1"/>
  <c r="R157" i="25" s="1"/>
  <c r="BI157" i="25"/>
  <c r="N189" i="25"/>
  <c r="BI189" i="25"/>
  <c r="N138" i="25"/>
  <c r="O138" i="25" s="1"/>
  <c r="R138" i="25" s="1"/>
  <c r="BI138" i="25"/>
  <c r="L143" i="25"/>
  <c r="BI143" i="25"/>
  <c r="N183" i="25"/>
  <c r="O183" i="25" s="1"/>
  <c r="Q183" i="25" s="1"/>
  <c r="BI183" i="25"/>
  <c r="L120" i="25"/>
  <c r="BI120" i="25"/>
  <c r="L136" i="25"/>
  <c r="BI136" i="25"/>
  <c r="N152" i="25"/>
  <c r="BI152" i="25"/>
  <c r="L168" i="25"/>
  <c r="BI168" i="25"/>
  <c r="N184" i="25"/>
  <c r="BI184" i="25"/>
  <c r="N200" i="25"/>
  <c r="O200" i="25" s="1"/>
  <c r="Q200" i="25" s="1"/>
  <c r="BI200" i="25"/>
  <c r="N139" i="25"/>
  <c r="BI139" i="25"/>
  <c r="L191" i="25"/>
  <c r="BI191" i="25"/>
  <c r="N113" i="25"/>
  <c r="O113" i="25" s="1"/>
  <c r="Q113" i="25" s="1"/>
  <c r="BI113" i="25"/>
  <c r="L129" i="25"/>
  <c r="BI129" i="25"/>
  <c r="N145" i="25"/>
  <c r="BI145" i="25"/>
  <c r="N177" i="25"/>
  <c r="BI177" i="25"/>
  <c r="L193" i="25"/>
  <c r="BI193" i="25"/>
  <c r="L209" i="25"/>
  <c r="BI209" i="25"/>
  <c r="L147" i="25"/>
  <c r="BI147" i="25"/>
  <c r="N207" i="25"/>
  <c r="O207" i="25" s="1"/>
  <c r="Q207" i="25" s="1"/>
  <c r="BI207" i="25"/>
  <c r="N126" i="25"/>
  <c r="BI126" i="25"/>
  <c r="N142" i="25"/>
  <c r="O142" i="25" s="1"/>
  <c r="Q142" i="25" s="1"/>
  <c r="BI142" i="25"/>
  <c r="N158" i="25"/>
  <c r="BI158" i="25"/>
  <c r="L174" i="25"/>
  <c r="BI174" i="25"/>
  <c r="N190" i="25"/>
  <c r="BI190" i="25"/>
  <c r="L206" i="25"/>
  <c r="BI206" i="25"/>
  <c r="L115" i="25"/>
  <c r="BI115" i="25"/>
  <c r="N151" i="25"/>
  <c r="O151" i="25" s="1"/>
  <c r="R151" i="25" s="1"/>
  <c r="BI151" i="25"/>
  <c r="L199" i="25"/>
  <c r="BI199" i="25"/>
  <c r="N124" i="25"/>
  <c r="O124" i="25" s="1"/>
  <c r="Q124" i="25" s="1"/>
  <c r="BI124" i="25"/>
  <c r="L140" i="25"/>
  <c r="BI140" i="25"/>
  <c r="L156" i="25"/>
  <c r="BI156" i="25"/>
  <c r="N172" i="25"/>
  <c r="BI172" i="25"/>
  <c r="N188" i="25"/>
  <c r="O188" i="25" s="1"/>
  <c r="Q188" i="25" s="1"/>
  <c r="BI188" i="25"/>
  <c r="N204" i="25"/>
  <c r="BI204" i="25"/>
  <c r="L159" i="25"/>
  <c r="BI159" i="25"/>
  <c r="N195" i="25"/>
  <c r="BI195" i="25"/>
  <c r="N117" i="25"/>
  <c r="O117" i="25" s="1"/>
  <c r="Q117" i="25" s="1"/>
  <c r="BI117" i="25"/>
  <c r="N133" i="25"/>
  <c r="BI133" i="25"/>
  <c r="L149" i="25"/>
  <c r="BI149" i="25"/>
  <c r="N165" i="25"/>
  <c r="BI165" i="25"/>
  <c r="N181" i="25"/>
  <c r="BI181" i="25"/>
  <c r="N197" i="25"/>
  <c r="BI197" i="25"/>
  <c r="L111" i="25"/>
  <c r="BI111" i="25"/>
  <c r="N155" i="25"/>
  <c r="BI155" i="25"/>
  <c r="L114" i="25"/>
  <c r="BI114" i="25"/>
  <c r="L130" i="25"/>
  <c r="BI130" i="25"/>
  <c r="N146" i="25"/>
  <c r="O146" i="25" s="1"/>
  <c r="Q146" i="25" s="1"/>
  <c r="BI146" i="25"/>
  <c r="N162" i="25"/>
  <c r="O162" i="25" s="1"/>
  <c r="Q162" i="25" s="1"/>
  <c r="BI162" i="25"/>
  <c r="L178" i="25"/>
  <c r="BI178" i="25"/>
  <c r="L194" i="25"/>
  <c r="BI194" i="25"/>
  <c r="L210" i="25"/>
  <c r="BI210" i="25"/>
  <c r="N171" i="25"/>
  <c r="BI171" i="25"/>
  <c r="L132" i="25"/>
  <c r="BI132" i="25"/>
  <c r="N148" i="25"/>
  <c r="BI148" i="25"/>
  <c r="N180" i="25"/>
  <c r="O180" i="25" s="1"/>
  <c r="R180" i="25" s="1"/>
  <c r="BI180" i="25"/>
  <c r="L196" i="25"/>
  <c r="BI196" i="25"/>
  <c r="N127" i="25"/>
  <c r="O127" i="25" s="1"/>
  <c r="Q127" i="25" s="1"/>
  <c r="BI127" i="25"/>
  <c r="L187" i="25"/>
  <c r="BI187" i="25"/>
  <c r="N125" i="25"/>
  <c r="O125" i="25" s="1"/>
  <c r="Q125" i="25" s="1"/>
  <c r="BI125" i="25"/>
  <c r="N141" i="25"/>
  <c r="O141" i="25" s="1"/>
  <c r="R141" i="25" s="1"/>
  <c r="BI141" i="25"/>
  <c r="N173" i="25"/>
  <c r="O173" i="25" s="1"/>
  <c r="R173" i="25" s="1"/>
  <c r="BI173" i="25"/>
  <c r="N205" i="25"/>
  <c r="BI205" i="25"/>
  <c r="L135" i="25"/>
  <c r="BI135" i="25"/>
  <c r="L179" i="25"/>
  <c r="BI179" i="25"/>
  <c r="N122" i="25"/>
  <c r="O122" i="25" s="1"/>
  <c r="R122" i="25" s="1"/>
  <c r="BI122" i="25"/>
  <c r="L154" i="25"/>
  <c r="BI154" i="25"/>
  <c r="N170" i="25"/>
  <c r="O170" i="25" s="1"/>
  <c r="R170" i="25" s="1"/>
  <c r="BI170" i="25"/>
  <c r="L186" i="25"/>
  <c r="BI186" i="25"/>
  <c r="N202" i="25"/>
  <c r="O202" i="25" s="1"/>
  <c r="R202" i="25" s="1"/>
  <c r="BI202" i="25"/>
  <c r="L161" i="25"/>
  <c r="BI161" i="25"/>
  <c r="L123" i="25"/>
  <c r="BI123" i="25"/>
  <c r="N163" i="25"/>
  <c r="BI163" i="25"/>
  <c r="L112" i="25"/>
  <c r="BI112" i="25"/>
  <c r="N128" i="25"/>
  <c r="BI128" i="25"/>
  <c r="L144" i="25"/>
  <c r="BI144" i="25"/>
  <c r="L160" i="25"/>
  <c r="BI160" i="25"/>
  <c r="N176" i="25"/>
  <c r="O176" i="25" s="1"/>
  <c r="R176" i="25" s="1"/>
  <c r="BI176" i="25"/>
  <c r="L192" i="25"/>
  <c r="BI192" i="25"/>
  <c r="N208" i="25"/>
  <c r="O208" i="25" s="1"/>
  <c r="Q208" i="25" s="1"/>
  <c r="BI208" i="25"/>
  <c r="L175" i="25"/>
  <c r="BI175" i="25"/>
  <c r="N203" i="25"/>
  <c r="O203" i="25" s="1"/>
  <c r="Q203" i="25" s="1"/>
  <c r="BI203" i="25"/>
  <c r="N121" i="25"/>
  <c r="BI121" i="25"/>
  <c r="L137" i="25"/>
  <c r="BI137" i="25"/>
  <c r="L153" i="25"/>
  <c r="BI153" i="25"/>
  <c r="L169" i="25"/>
  <c r="BI169" i="25"/>
  <c r="L185" i="25"/>
  <c r="BI185" i="25"/>
  <c r="L201" i="25"/>
  <c r="BI201" i="25"/>
  <c r="L119" i="25"/>
  <c r="BI119" i="25"/>
  <c r="L167" i="25"/>
  <c r="BI167" i="25"/>
  <c r="N118" i="25"/>
  <c r="O118" i="25" s="1"/>
  <c r="R118" i="25" s="1"/>
  <c r="BI118" i="25"/>
  <c r="L134" i="25"/>
  <c r="BI134" i="25"/>
  <c r="N150" i="25"/>
  <c r="O150" i="25" s="1"/>
  <c r="Q150" i="25" s="1"/>
  <c r="BI150" i="25"/>
  <c r="L166" i="25"/>
  <c r="BI166" i="25"/>
  <c r="L182" i="25"/>
  <c r="BI182" i="25"/>
  <c r="L198" i="25"/>
  <c r="BI198" i="25"/>
  <c r="K171" i="24"/>
  <c r="BK171" i="24"/>
  <c r="M123" i="24"/>
  <c r="N123" i="24" s="1"/>
  <c r="P123" i="24" s="1"/>
  <c r="BK123" i="24"/>
  <c r="K175" i="24"/>
  <c r="BK175" i="24"/>
  <c r="M128" i="24"/>
  <c r="N128" i="24" s="1"/>
  <c r="P128" i="24" s="1"/>
  <c r="BK128" i="24"/>
  <c r="K184" i="24"/>
  <c r="BK184" i="24"/>
  <c r="M142" i="24"/>
  <c r="N142" i="24" s="1"/>
  <c r="P142" i="24" s="1"/>
  <c r="BK142" i="24"/>
  <c r="M194" i="24"/>
  <c r="N194" i="24" s="1"/>
  <c r="P194" i="24" s="1"/>
  <c r="BK194" i="24"/>
  <c r="K151" i="24"/>
  <c r="BK151" i="24"/>
  <c r="K124" i="24"/>
  <c r="BK124" i="24"/>
  <c r="K114" i="24"/>
  <c r="BK114" i="24"/>
  <c r="M181" i="24"/>
  <c r="N181" i="24" s="1"/>
  <c r="P181" i="24" s="1"/>
  <c r="BK181" i="24"/>
  <c r="M165" i="24"/>
  <c r="N165" i="24" s="1"/>
  <c r="P165" i="24" s="1"/>
  <c r="BK165" i="24"/>
  <c r="K133" i="24"/>
  <c r="BK133" i="24"/>
  <c r="M208" i="24"/>
  <c r="N208" i="24" s="1"/>
  <c r="P208" i="24" s="1"/>
  <c r="BK208" i="24"/>
  <c r="K166" i="24"/>
  <c r="BK166" i="24"/>
  <c r="M115" i="24"/>
  <c r="N115" i="24" s="1"/>
  <c r="P115" i="24" s="1"/>
  <c r="BK115" i="24"/>
  <c r="M170" i="24"/>
  <c r="N170" i="24" s="1"/>
  <c r="P170" i="24" s="1"/>
  <c r="BK170" i="24"/>
  <c r="K120" i="24"/>
  <c r="BK120" i="24"/>
  <c r="M179" i="24"/>
  <c r="N179" i="24" s="1"/>
  <c r="BK179" i="24"/>
  <c r="K135" i="24"/>
  <c r="BK135" i="24"/>
  <c r="M210" i="24"/>
  <c r="BK210" i="24"/>
  <c r="M167" i="24"/>
  <c r="N167" i="24" s="1"/>
  <c r="P167" i="24" s="1"/>
  <c r="BK167" i="24"/>
  <c r="K146" i="24"/>
  <c r="BK146" i="24"/>
  <c r="K126" i="24"/>
  <c r="BK126" i="24"/>
  <c r="K193" i="24"/>
  <c r="BK193" i="24"/>
  <c r="M161" i="24"/>
  <c r="N161" i="24" s="1"/>
  <c r="P161" i="24" s="1"/>
  <c r="BK161" i="24"/>
  <c r="K113" i="24"/>
  <c r="BK113" i="24"/>
  <c r="K198" i="24"/>
  <c r="BK198" i="24"/>
  <c r="K176" i="24"/>
  <c r="BK176" i="24"/>
  <c r="M155" i="24"/>
  <c r="N155" i="24" s="1"/>
  <c r="P155" i="24" s="1"/>
  <c r="BK155" i="24"/>
  <c r="M131" i="24"/>
  <c r="N131" i="24" s="1"/>
  <c r="P131" i="24" s="1"/>
  <c r="BK131" i="24"/>
  <c r="K202" i="24"/>
  <c r="BK202" i="24"/>
  <c r="K180" i="24"/>
  <c r="BK180" i="24"/>
  <c r="M159" i="24"/>
  <c r="N159" i="24" s="1"/>
  <c r="P159" i="24" s="1"/>
  <c r="BK159" i="24"/>
  <c r="M136" i="24"/>
  <c r="N136" i="24" s="1"/>
  <c r="P136" i="24" s="1"/>
  <c r="BK136" i="24"/>
  <c r="K190" i="24"/>
  <c r="BK190" i="24"/>
  <c r="K168" i="24"/>
  <c r="BK168" i="24"/>
  <c r="K147" i="24"/>
  <c r="BK147" i="24"/>
  <c r="M119" i="24"/>
  <c r="N119" i="24" s="1"/>
  <c r="P119" i="24" s="1"/>
  <c r="BK119" i="24"/>
  <c r="M199" i="24"/>
  <c r="N199" i="24" s="1"/>
  <c r="P199" i="24" s="1"/>
  <c r="BK199" i="24"/>
  <c r="K178" i="24"/>
  <c r="BK178" i="24"/>
  <c r="K156" i="24"/>
  <c r="BK156" i="24"/>
  <c r="K132" i="24"/>
  <c r="BK132" i="24"/>
  <c r="M134" i="24"/>
  <c r="N134" i="24" s="1"/>
  <c r="P134" i="24" s="1"/>
  <c r="BK134" i="24"/>
  <c r="K118" i="24"/>
  <c r="BK118" i="24"/>
  <c r="M201" i="24"/>
  <c r="N201" i="24" s="1"/>
  <c r="P201" i="24" s="1"/>
  <c r="BK201" i="24"/>
  <c r="K185" i="24"/>
  <c r="BK185" i="24"/>
  <c r="M169" i="24"/>
  <c r="N169" i="24" s="1"/>
  <c r="P169" i="24" s="1"/>
  <c r="BK169" i="24"/>
  <c r="K153" i="24"/>
  <c r="BK153" i="24"/>
  <c r="M137" i="24"/>
  <c r="N137" i="24" s="1"/>
  <c r="P137" i="24" s="1"/>
  <c r="BK137" i="24"/>
  <c r="K121" i="24"/>
  <c r="BK121" i="24"/>
  <c r="M192" i="24"/>
  <c r="N192" i="24" s="1"/>
  <c r="P192" i="24" s="1"/>
  <c r="BK192" i="24"/>
  <c r="M150" i="24"/>
  <c r="N150" i="24" s="1"/>
  <c r="P150" i="24" s="1"/>
  <c r="BK150" i="24"/>
  <c r="M196" i="24"/>
  <c r="N196" i="24" s="1"/>
  <c r="P196" i="24" s="1"/>
  <c r="BK196" i="24"/>
  <c r="M154" i="24"/>
  <c r="N154" i="24" s="1"/>
  <c r="P154" i="24" s="1"/>
  <c r="BK154" i="24"/>
  <c r="M206" i="24"/>
  <c r="N206" i="24" s="1"/>
  <c r="P206" i="24" s="1"/>
  <c r="BK206" i="24"/>
  <c r="M163" i="24"/>
  <c r="N163" i="24" s="1"/>
  <c r="P163" i="24" s="1"/>
  <c r="BK163" i="24"/>
  <c r="K111" i="24"/>
  <c r="BK111" i="24"/>
  <c r="M172" i="24"/>
  <c r="N172" i="24" s="1"/>
  <c r="P172" i="24" s="1"/>
  <c r="BK172" i="24"/>
  <c r="K130" i="24"/>
  <c r="BK130" i="24"/>
  <c r="K197" i="24"/>
  <c r="BK197" i="24"/>
  <c r="M149" i="24"/>
  <c r="N149" i="24" s="1"/>
  <c r="P149" i="24" s="1"/>
  <c r="BK149" i="24"/>
  <c r="K117" i="24"/>
  <c r="BK117" i="24"/>
  <c r="M187" i="24"/>
  <c r="N187" i="24" s="1"/>
  <c r="P187" i="24" s="1"/>
  <c r="BK187" i="24"/>
  <c r="K144" i="24"/>
  <c r="BK144" i="24"/>
  <c r="K191" i="24"/>
  <c r="BK191" i="24"/>
  <c r="M148" i="24"/>
  <c r="N148" i="24" s="1"/>
  <c r="P148" i="24" s="1"/>
  <c r="BK148" i="24"/>
  <c r="K200" i="24"/>
  <c r="BK200" i="24"/>
  <c r="K158" i="24"/>
  <c r="BK158" i="24"/>
  <c r="M188" i="24"/>
  <c r="N188" i="24" s="1"/>
  <c r="P188" i="24" s="1"/>
  <c r="BK188" i="24"/>
  <c r="M116" i="24"/>
  <c r="N116" i="24" s="1"/>
  <c r="P116" i="24" s="1"/>
  <c r="BK116" i="24"/>
  <c r="K209" i="24"/>
  <c r="BK209" i="24"/>
  <c r="M177" i="24"/>
  <c r="N177" i="24" s="1"/>
  <c r="P177" i="24" s="1"/>
  <c r="BK177" i="24"/>
  <c r="M145" i="24"/>
  <c r="N145" i="24" s="1"/>
  <c r="P145" i="24" s="1"/>
  <c r="BK145" i="24"/>
  <c r="K129" i="24"/>
  <c r="BK129" i="24"/>
  <c r="M203" i="24"/>
  <c r="N203" i="24" s="1"/>
  <c r="P203" i="24" s="1"/>
  <c r="BK203" i="24"/>
  <c r="M182" i="24"/>
  <c r="N182" i="24" s="1"/>
  <c r="P182" i="24" s="1"/>
  <c r="BK182" i="24"/>
  <c r="K160" i="24"/>
  <c r="BK160" i="24"/>
  <c r="K139" i="24"/>
  <c r="BK139" i="24"/>
  <c r="M207" i="24"/>
  <c r="N207" i="24" s="1"/>
  <c r="P207" i="24" s="1"/>
  <c r="BK207" i="24"/>
  <c r="M186" i="24"/>
  <c r="N186" i="24" s="1"/>
  <c r="P186" i="24" s="1"/>
  <c r="BK186" i="24"/>
  <c r="K164" i="24"/>
  <c r="BK164" i="24"/>
  <c r="K143" i="24"/>
  <c r="BK143" i="24"/>
  <c r="M112" i="24"/>
  <c r="N112" i="24" s="1"/>
  <c r="P112" i="24" s="1"/>
  <c r="BK112" i="24"/>
  <c r="K195" i="24"/>
  <c r="BK195" i="24"/>
  <c r="K174" i="24"/>
  <c r="BK174" i="24"/>
  <c r="M152" i="24"/>
  <c r="N152" i="24" s="1"/>
  <c r="P152" i="24" s="1"/>
  <c r="BK152" i="24"/>
  <c r="K127" i="24"/>
  <c r="BK127" i="24"/>
  <c r="K204" i="24"/>
  <c r="BK204" i="24"/>
  <c r="M183" i="24"/>
  <c r="N183" i="24" s="1"/>
  <c r="P183" i="24" s="1"/>
  <c r="BK183" i="24"/>
  <c r="M162" i="24"/>
  <c r="N162" i="24" s="1"/>
  <c r="P162" i="24" s="1"/>
  <c r="BK162" i="24"/>
  <c r="K140" i="24"/>
  <c r="BK140" i="24"/>
  <c r="K138" i="24"/>
  <c r="BK138" i="24"/>
  <c r="M122" i="24"/>
  <c r="N122" i="24" s="1"/>
  <c r="P122" i="24" s="1"/>
  <c r="BK122" i="24"/>
  <c r="M205" i="24"/>
  <c r="N205" i="24" s="1"/>
  <c r="P205" i="24" s="1"/>
  <c r="BK205" i="24"/>
  <c r="K189" i="24"/>
  <c r="BK189" i="24"/>
  <c r="K173" i="24"/>
  <c r="BK173" i="24"/>
  <c r="M157" i="24"/>
  <c r="N157" i="24" s="1"/>
  <c r="P157" i="24" s="1"/>
  <c r="BK157" i="24"/>
  <c r="K141" i="24"/>
  <c r="BK141" i="24"/>
  <c r="M125" i="24"/>
  <c r="N125" i="24" s="1"/>
  <c r="P125" i="24" s="1"/>
  <c r="BK125" i="24"/>
  <c r="N187" i="25"/>
  <c r="O187" i="25" s="1"/>
  <c r="Q187" i="25" s="1"/>
  <c r="L200" i="25"/>
  <c r="B249" i="2"/>
  <c r="L13" i="1"/>
  <c r="J5" i="24"/>
  <c r="O5" i="24"/>
  <c r="S216" i="24"/>
  <c r="T216" i="24" s="1"/>
  <c r="S110" i="24"/>
  <c r="T110" i="24" s="1"/>
  <c r="P179" i="24"/>
  <c r="A28" i="16"/>
  <c r="P5" i="24"/>
  <c r="U5" i="24"/>
  <c r="T5" i="25"/>
  <c r="U5" i="25" s="1"/>
  <c r="N110" i="25"/>
  <c r="T110" i="25" s="1"/>
  <c r="U110" i="25" s="1"/>
  <c r="M110" i="24"/>
  <c r="BO5" i="25"/>
  <c r="L176" i="25"/>
  <c r="B245" i="2"/>
  <c r="D245" i="2" s="1"/>
  <c r="D34" i="16"/>
  <c r="L155" i="25"/>
  <c r="N149" i="25"/>
  <c r="O149" i="25" s="1"/>
  <c r="R149" i="25" s="1"/>
  <c r="N115" i="25"/>
  <c r="O115" i="25" s="1"/>
  <c r="R115" i="25" s="1"/>
  <c r="L172" i="25"/>
  <c r="N199" i="25"/>
  <c r="O199" i="25" s="1"/>
  <c r="R199" i="25" s="1"/>
  <c r="L124" i="25"/>
  <c r="N156" i="25"/>
  <c r="O156" i="25" s="1"/>
  <c r="R156" i="25" s="1"/>
  <c r="N114" i="25"/>
  <c r="O114" i="25" s="1"/>
  <c r="Q114" i="25" s="1"/>
  <c r="N130" i="25"/>
  <c r="O130" i="25" s="1"/>
  <c r="Q130" i="25" s="1"/>
  <c r="L195" i="25"/>
  <c r="N194" i="25"/>
  <c r="O194" i="25" s="1"/>
  <c r="R194" i="25" s="1"/>
  <c r="L162" i="25"/>
  <c r="L151" i="25"/>
  <c r="N143" i="25"/>
  <c r="O143" i="25" s="1"/>
  <c r="Q143" i="25" s="1"/>
  <c r="L145" i="25"/>
  <c r="O9" i="25"/>
  <c r="R9" i="25" s="1"/>
  <c r="O10" i="25"/>
  <c r="Q10" i="25" s="1"/>
  <c r="O80" i="25"/>
  <c r="Q80" i="25" s="1"/>
  <c r="O53" i="25"/>
  <c r="R53" i="25" s="1"/>
  <c r="L113" i="25"/>
  <c r="N161" i="25"/>
  <c r="O161" i="25" s="1"/>
  <c r="Q161" i="25" s="1"/>
  <c r="W42" i="2"/>
  <c r="W43" i="2" s="1"/>
  <c r="R43" i="2"/>
  <c r="N111" i="25"/>
  <c r="O111" i="25" s="1"/>
  <c r="R111" i="25" s="1"/>
  <c r="N159" i="25"/>
  <c r="O159" i="25" s="1"/>
  <c r="R159" i="25" s="1"/>
  <c r="L133" i="25"/>
  <c r="L197" i="25"/>
  <c r="N140" i="25"/>
  <c r="O140" i="25" s="1"/>
  <c r="R140" i="25" s="1"/>
  <c r="N178" i="25"/>
  <c r="O178" i="25" s="1"/>
  <c r="Q178" i="25" s="1"/>
  <c r="N210" i="25"/>
  <c r="O210" i="25" s="1"/>
  <c r="Q210" i="25" s="1"/>
  <c r="L146" i="25"/>
  <c r="L204" i="25"/>
  <c r="L117" i="25"/>
  <c r="L165" i="25"/>
  <c r="L188" i="25"/>
  <c r="L181" i="25"/>
  <c r="L184" i="25"/>
  <c r="L177" i="25"/>
  <c r="N193" i="25"/>
  <c r="O193" i="25" s="1"/>
  <c r="Q193" i="25" s="1"/>
  <c r="N147" i="25"/>
  <c r="O147" i="25" s="1"/>
  <c r="R147" i="25" s="1"/>
  <c r="L139" i="25"/>
  <c r="L142" i="25"/>
  <c r="L183" i="25"/>
  <c r="N168" i="25"/>
  <c r="O168" i="25" s="1"/>
  <c r="Q168" i="25" s="1"/>
  <c r="N174" i="25"/>
  <c r="O174" i="25" s="1"/>
  <c r="Q174" i="25" s="1"/>
  <c r="O57" i="25"/>
  <c r="R57" i="25" s="1"/>
  <c r="O89" i="25"/>
  <c r="R89" i="25" s="1"/>
  <c r="O172" i="25"/>
  <c r="R172" i="25" s="1"/>
  <c r="O94" i="25"/>
  <c r="R94" i="25" s="1"/>
  <c r="O55" i="25"/>
  <c r="Q55" i="25" s="1"/>
  <c r="O65" i="25"/>
  <c r="Q65" i="25" s="1"/>
  <c r="O12" i="25"/>
  <c r="R12" i="25" s="1"/>
  <c r="O104" i="25"/>
  <c r="Q104" i="25" s="1"/>
  <c r="O155" i="25"/>
  <c r="Q155" i="25" s="1"/>
  <c r="O13" i="25"/>
  <c r="R13" i="25" s="1"/>
  <c r="O165" i="25"/>
  <c r="R165" i="25" s="1"/>
  <c r="O32" i="25"/>
  <c r="Q32" i="25" s="1"/>
  <c r="O52" i="25"/>
  <c r="Q52" i="25" s="1"/>
  <c r="O18" i="25"/>
  <c r="R18" i="25" s="1"/>
  <c r="O31" i="25"/>
  <c r="Q31" i="25" s="1"/>
  <c r="O59" i="25"/>
  <c r="Q59" i="25" s="1"/>
  <c r="O93" i="25"/>
  <c r="Q93" i="25" s="1"/>
  <c r="R44" i="2"/>
  <c r="B26" i="2"/>
  <c r="L118" i="25"/>
  <c r="N175" i="25"/>
  <c r="O175" i="25" s="1"/>
  <c r="R175" i="25" s="1"/>
  <c r="L148" i="25"/>
  <c r="L122" i="25"/>
  <c r="N136" i="25"/>
  <c r="O136" i="25" s="1"/>
  <c r="R136" i="25" s="1"/>
  <c r="L180" i="25"/>
  <c r="N120" i="25"/>
  <c r="O120" i="25" s="1"/>
  <c r="R120" i="25" s="1"/>
  <c r="L163" i="25"/>
  <c r="N129" i="25"/>
  <c r="O129" i="25" s="1"/>
  <c r="Q129" i="25" s="1"/>
  <c r="N119" i="25"/>
  <c r="O119" i="25" s="1"/>
  <c r="Q119" i="25" s="1"/>
  <c r="L128" i="25"/>
  <c r="L158" i="25"/>
  <c r="L152" i="25"/>
  <c r="N191" i="25"/>
  <c r="O191" i="25" s="1"/>
  <c r="R191" i="25" s="1"/>
  <c r="N192" i="25"/>
  <c r="O192" i="25" s="1"/>
  <c r="R192" i="25" s="1"/>
  <c r="N185" i="25"/>
  <c r="O185" i="25" s="1"/>
  <c r="Q185" i="25" s="1"/>
  <c r="N166" i="25"/>
  <c r="O166" i="25" s="1"/>
  <c r="Q166" i="25" s="1"/>
  <c r="L203" i="25"/>
  <c r="N167" i="25"/>
  <c r="O167" i="25" s="1"/>
  <c r="R167" i="25" s="1"/>
  <c r="L207" i="25"/>
  <c r="N209" i="25"/>
  <c r="O209" i="25" s="1"/>
  <c r="Q209" i="25" s="1"/>
  <c r="L126" i="25"/>
  <c r="N206" i="25"/>
  <c r="O206" i="25" s="1"/>
  <c r="Q206" i="25" s="1"/>
  <c r="N160" i="25"/>
  <c r="O160" i="25" s="1"/>
  <c r="R160" i="25" s="1"/>
  <c r="N153" i="25"/>
  <c r="O153" i="25" s="1"/>
  <c r="Q153" i="25" s="1"/>
  <c r="N134" i="25"/>
  <c r="O134" i="25" s="1"/>
  <c r="Q134" i="25" s="1"/>
  <c r="N198" i="25"/>
  <c r="O198" i="25" s="1"/>
  <c r="R198" i="25" s="1"/>
  <c r="N201" i="25"/>
  <c r="O201" i="25" s="1"/>
  <c r="R201" i="25" s="1"/>
  <c r="N112" i="25"/>
  <c r="O112" i="25" s="1"/>
  <c r="R112" i="25" s="1"/>
  <c r="L121" i="25"/>
  <c r="N123" i="25"/>
  <c r="O123" i="25" s="1"/>
  <c r="L150" i="25"/>
  <c r="N144" i="25"/>
  <c r="O144" i="25" s="1"/>
  <c r="Q144" i="25" s="1"/>
  <c r="N137" i="25"/>
  <c r="O137" i="25" s="1"/>
  <c r="R137" i="25" s="1"/>
  <c r="N169" i="25"/>
  <c r="O169" i="25" s="1"/>
  <c r="Q169" i="25" s="1"/>
  <c r="N182" i="25"/>
  <c r="O182" i="25" s="1"/>
  <c r="R182" i="25" s="1"/>
  <c r="L208" i="25"/>
  <c r="L190" i="25"/>
  <c r="L127" i="25"/>
  <c r="N116" i="25"/>
  <c r="O116" i="25" s="1"/>
  <c r="Q116" i="25" s="1"/>
  <c r="O158" i="25"/>
  <c r="R158" i="25" s="1"/>
  <c r="O87" i="25"/>
  <c r="Q87" i="25" s="1"/>
  <c r="O29" i="25"/>
  <c r="R29" i="25" s="1"/>
  <c r="O64" i="25"/>
  <c r="R64" i="25" s="1"/>
  <c r="O35" i="25"/>
  <c r="R35" i="25" s="1"/>
  <c r="O62" i="25"/>
  <c r="R62" i="25" s="1"/>
  <c r="O81" i="25"/>
  <c r="R81" i="25" s="1"/>
  <c r="O72" i="25"/>
  <c r="Q72" i="25" s="1"/>
  <c r="O22" i="25"/>
  <c r="Q22" i="25" s="1"/>
  <c r="O82" i="25"/>
  <c r="Q82" i="25" s="1"/>
  <c r="O63" i="25"/>
  <c r="R63" i="25" s="1"/>
  <c r="O133" i="25"/>
  <c r="R133" i="25" s="1"/>
  <c r="O197" i="25"/>
  <c r="Q197" i="25" s="1"/>
  <c r="O128" i="25"/>
  <c r="Q128" i="25" s="1"/>
  <c r="O139" i="25"/>
  <c r="R139" i="25" s="1"/>
  <c r="O41" i="25"/>
  <c r="Q41" i="25" s="1"/>
  <c r="O67" i="25"/>
  <c r="R67" i="25" s="1"/>
  <c r="O86" i="25"/>
  <c r="Q86" i="25" s="1"/>
  <c r="O44" i="25"/>
  <c r="Q44" i="25" s="1"/>
  <c r="O79" i="25"/>
  <c r="R79" i="25" s="1"/>
  <c r="O100" i="25"/>
  <c r="Q100" i="25" s="1"/>
  <c r="O90" i="25"/>
  <c r="Q90" i="25" s="1"/>
  <c r="O58" i="25"/>
  <c r="Q58" i="25" s="1"/>
  <c r="O30" i="25"/>
  <c r="R30" i="25" s="1"/>
  <c r="O73" i="25"/>
  <c r="R73" i="25" s="1"/>
  <c r="O15" i="25"/>
  <c r="Q15" i="25" s="1"/>
  <c r="O25" i="25"/>
  <c r="R25" i="25" s="1"/>
  <c r="O163" i="25"/>
  <c r="Q163" i="25" s="1"/>
  <c r="O24" i="25"/>
  <c r="R24" i="25" s="1"/>
  <c r="O6" i="25"/>
  <c r="Q6" i="25" s="1"/>
  <c r="O88" i="25"/>
  <c r="Q88" i="25" s="1"/>
  <c r="O47" i="25"/>
  <c r="Q47" i="25" s="1"/>
  <c r="O16" i="25"/>
  <c r="R16" i="25" s="1"/>
  <c r="O85" i="25"/>
  <c r="Q85" i="25" s="1"/>
  <c r="O60" i="25"/>
  <c r="R60" i="25" s="1"/>
  <c r="O61" i="25"/>
  <c r="R61" i="25" s="1"/>
  <c r="O49" i="25"/>
  <c r="R49" i="25" s="1"/>
  <c r="O8" i="25"/>
  <c r="Q8" i="25" s="1"/>
  <c r="O40" i="25"/>
  <c r="Q40" i="25" s="1"/>
  <c r="O76" i="25"/>
  <c r="Q76" i="25" s="1"/>
  <c r="O26" i="25"/>
  <c r="Q26" i="25" s="1"/>
  <c r="O71" i="25"/>
  <c r="R71" i="25" s="1"/>
  <c r="O69" i="25"/>
  <c r="Q69" i="25" s="1"/>
  <c r="O101" i="25"/>
  <c r="R101" i="25" s="1"/>
  <c r="O21" i="25"/>
  <c r="Q21" i="25" s="1"/>
  <c r="O50" i="25"/>
  <c r="R50" i="25" s="1"/>
  <c r="O99" i="25"/>
  <c r="R99" i="25" s="1"/>
  <c r="O23" i="25"/>
  <c r="Q23" i="25" s="1"/>
  <c r="O51" i="25"/>
  <c r="Q51" i="25" s="1"/>
  <c r="O83" i="25"/>
  <c r="Q83" i="25" s="1"/>
  <c r="O96" i="25"/>
  <c r="Q96" i="25" s="1"/>
  <c r="O131" i="25"/>
  <c r="Q131" i="25" s="1"/>
  <c r="O171" i="25"/>
  <c r="R171" i="25" s="1"/>
  <c r="O148" i="25"/>
  <c r="Q148" i="25" s="1"/>
  <c r="O189" i="25"/>
  <c r="R189" i="25" s="1"/>
  <c r="O205" i="25"/>
  <c r="Q205" i="25" s="1"/>
  <c r="O91" i="25"/>
  <c r="Q91" i="25" s="1"/>
  <c r="O43" i="25"/>
  <c r="Q43" i="25" s="1"/>
  <c r="O38" i="25"/>
  <c r="Q38" i="25" s="1"/>
  <c r="O70" i="25"/>
  <c r="Q70" i="25" s="1"/>
  <c r="O204" i="25"/>
  <c r="R204" i="25" s="1"/>
  <c r="O39" i="25"/>
  <c r="R39" i="25" s="1"/>
  <c r="O37" i="25"/>
  <c r="R37" i="25" s="1"/>
  <c r="O195" i="25"/>
  <c r="Q195" i="25" s="1"/>
  <c r="O36" i="25"/>
  <c r="Q36" i="25" s="1"/>
  <c r="O84" i="25"/>
  <c r="Q84" i="25" s="1"/>
  <c r="O184" i="25"/>
  <c r="Q184" i="25" s="1"/>
  <c r="O75" i="25"/>
  <c r="Q75" i="25" s="1"/>
  <c r="O19" i="25"/>
  <c r="R19" i="25" s="1"/>
  <c r="O74" i="25"/>
  <c r="Q74" i="25" s="1"/>
  <c r="O46" i="25"/>
  <c r="R46" i="25" s="1"/>
  <c r="O48" i="25"/>
  <c r="R48" i="25" s="1"/>
  <c r="O105" i="25"/>
  <c r="Q105" i="25" s="1"/>
  <c r="O45" i="25"/>
  <c r="Q45" i="25" s="1"/>
  <c r="O7" i="25"/>
  <c r="R7" i="25" s="1"/>
  <c r="O145" i="25"/>
  <c r="R145" i="25" s="1"/>
  <c r="O33" i="25"/>
  <c r="Q33" i="25" s="1"/>
  <c r="O28" i="25"/>
  <c r="Q28" i="25" s="1"/>
  <c r="O54" i="25"/>
  <c r="Q54" i="25" s="1"/>
  <c r="O68" i="25"/>
  <c r="R68" i="25" s="1"/>
  <c r="O42" i="25"/>
  <c r="R42" i="25" s="1"/>
  <c r="O92" i="25"/>
  <c r="Q92" i="25" s="1"/>
  <c r="O103" i="25"/>
  <c r="Q103" i="25" s="1"/>
  <c r="O14" i="25"/>
  <c r="Q14" i="25" s="1"/>
  <c r="O27" i="25"/>
  <c r="R27" i="25" s="1"/>
  <c r="O66" i="25"/>
  <c r="R66" i="25" s="1"/>
  <c r="O11" i="25"/>
  <c r="Q11" i="25" s="1"/>
  <c r="O17" i="25"/>
  <c r="R17" i="25" s="1"/>
  <c r="O77" i="25"/>
  <c r="Q77" i="25" s="1"/>
  <c r="O20" i="25"/>
  <c r="R20" i="25" s="1"/>
  <c r="O56" i="25"/>
  <c r="Q56" i="25" s="1"/>
  <c r="O97" i="25"/>
  <c r="Q97" i="25" s="1"/>
  <c r="O121" i="25"/>
  <c r="Q121" i="25" s="1"/>
  <c r="O98" i="25"/>
  <c r="R98" i="25" s="1"/>
  <c r="O126" i="25"/>
  <c r="R126" i="25" s="1"/>
  <c r="O181" i="25"/>
  <c r="Q181" i="25" s="1"/>
  <c r="O102" i="25"/>
  <c r="R102" i="25" s="1"/>
  <c r="O152" i="25"/>
  <c r="Q152" i="25" s="1"/>
  <c r="O177" i="25"/>
  <c r="R177" i="25" s="1"/>
  <c r="O190" i="25"/>
  <c r="Q190" i="25" s="1"/>
  <c r="O95" i="25"/>
  <c r="R95" i="25" s="1"/>
  <c r="O34" i="25"/>
  <c r="R34" i="25" s="1"/>
  <c r="O78" i="25"/>
  <c r="Q78" i="25" s="1"/>
  <c r="L171" i="25"/>
  <c r="L110" i="25"/>
  <c r="L141" i="25"/>
  <c r="L173" i="25"/>
  <c r="L205" i="25"/>
  <c r="N154" i="25"/>
  <c r="O154" i="25" s="1"/>
  <c r="Q154" i="25" s="1"/>
  <c r="N186" i="25"/>
  <c r="O186" i="25" s="1"/>
  <c r="Q186" i="25" s="1"/>
  <c r="N179" i="25"/>
  <c r="O179" i="25" s="1"/>
  <c r="Q179" i="25" s="1"/>
  <c r="L138" i="25"/>
  <c r="L170" i="25"/>
  <c r="L202" i="25"/>
  <c r="N135" i="25"/>
  <c r="O135" i="25" s="1"/>
  <c r="R135" i="25" s="1"/>
  <c r="L131" i="25"/>
  <c r="L125" i="25"/>
  <c r="L157" i="25"/>
  <c r="L189" i="25"/>
  <c r="N132" i="25"/>
  <c r="O132" i="25" s="1"/>
  <c r="Q132" i="25" s="1"/>
  <c r="N164" i="25"/>
  <c r="O164" i="25" s="1"/>
  <c r="Q164" i="25" s="1"/>
  <c r="N196" i="25"/>
  <c r="O196" i="25" s="1"/>
  <c r="Q196" i="25" s="1"/>
  <c r="I9" i="19"/>
  <c r="I8" i="19"/>
  <c r="I7" i="19"/>
  <c r="I6" i="19"/>
  <c r="N238" i="25"/>
  <c r="O238" i="25" s="1"/>
  <c r="L238" i="25"/>
  <c r="N242" i="25"/>
  <c r="O242" i="25" s="1"/>
  <c r="L242" i="25"/>
  <c r="N246" i="25"/>
  <c r="O246" i="25" s="1"/>
  <c r="L246" i="25"/>
  <c r="N234" i="25"/>
  <c r="O234" i="25" s="1"/>
  <c r="L234" i="25"/>
  <c r="N286" i="25"/>
  <c r="O286" i="25" s="1"/>
  <c r="L286" i="25"/>
  <c r="N302" i="25"/>
  <c r="O302" i="25" s="1"/>
  <c r="L302" i="25"/>
  <c r="N216" i="25"/>
  <c r="L216" i="25"/>
  <c r="N231" i="25"/>
  <c r="O231" i="25" s="1"/>
  <c r="L231" i="25"/>
  <c r="L247" i="25"/>
  <c r="N247" i="25"/>
  <c r="O247" i="25" s="1"/>
  <c r="L263" i="25"/>
  <c r="N263" i="25"/>
  <c r="O263" i="25" s="1"/>
  <c r="L279" i="25"/>
  <c r="N279" i="25"/>
  <c r="O279" i="25" s="1"/>
  <c r="L295" i="25"/>
  <c r="N295" i="25"/>
  <c r="O295" i="25" s="1"/>
  <c r="N311" i="25"/>
  <c r="O311" i="25" s="1"/>
  <c r="L311" i="25"/>
  <c r="L228" i="25"/>
  <c r="N228" i="25"/>
  <c r="O228" i="25" s="1"/>
  <c r="L244" i="25"/>
  <c r="N244" i="25"/>
  <c r="O244" i="25" s="1"/>
  <c r="L260" i="25"/>
  <c r="N260" i="25"/>
  <c r="O260" i="25" s="1"/>
  <c r="N276" i="25"/>
  <c r="O276" i="25" s="1"/>
  <c r="L276" i="25"/>
  <c r="L292" i="25"/>
  <c r="N292" i="25"/>
  <c r="O292" i="25" s="1"/>
  <c r="N308" i="25"/>
  <c r="O308" i="25" s="1"/>
  <c r="L308" i="25"/>
  <c r="N221" i="25"/>
  <c r="O221" i="25" s="1"/>
  <c r="L221" i="25"/>
  <c r="L237" i="25"/>
  <c r="N237" i="25"/>
  <c r="O237" i="25" s="1"/>
  <c r="L253" i="25"/>
  <c r="N253" i="25"/>
  <c r="O253" i="25" s="1"/>
  <c r="L269" i="25"/>
  <c r="N269" i="25"/>
  <c r="O269" i="25" s="1"/>
  <c r="N285" i="25"/>
  <c r="O285" i="25" s="1"/>
  <c r="L285" i="25"/>
  <c r="L301" i="25"/>
  <c r="N301" i="25"/>
  <c r="O301" i="25" s="1"/>
  <c r="N254" i="25"/>
  <c r="O254" i="25" s="1"/>
  <c r="L254" i="25"/>
  <c r="N258" i="25"/>
  <c r="O258" i="25" s="1"/>
  <c r="L258" i="25"/>
  <c r="N262" i="25"/>
  <c r="O262" i="25" s="1"/>
  <c r="L262" i="25"/>
  <c r="N250" i="25"/>
  <c r="O250" i="25" s="1"/>
  <c r="L250" i="25"/>
  <c r="N290" i="25"/>
  <c r="O290" i="25" s="1"/>
  <c r="L290" i="25"/>
  <c r="N306" i="25"/>
  <c r="O306" i="25" s="1"/>
  <c r="L306" i="25"/>
  <c r="L219" i="25"/>
  <c r="N219" i="25"/>
  <c r="O219" i="25" s="1"/>
  <c r="L235" i="25"/>
  <c r="N235" i="25"/>
  <c r="O235" i="25" s="1"/>
  <c r="L251" i="25"/>
  <c r="N251" i="25"/>
  <c r="O251" i="25" s="1"/>
  <c r="L267" i="25"/>
  <c r="N267" i="25"/>
  <c r="O267" i="25" s="1"/>
  <c r="N283" i="25"/>
  <c r="O283" i="25" s="1"/>
  <c r="L283" i="25"/>
  <c r="N299" i="25"/>
  <c r="O299" i="25" s="1"/>
  <c r="L299" i="25"/>
  <c r="N315" i="25"/>
  <c r="O315" i="25" s="1"/>
  <c r="L315" i="25"/>
  <c r="N232" i="25"/>
  <c r="O232" i="25" s="1"/>
  <c r="L232" i="25"/>
  <c r="N248" i="25"/>
  <c r="O248" i="25" s="1"/>
  <c r="L248" i="25"/>
  <c r="N264" i="25"/>
  <c r="O264" i="25" s="1"/>
  <c r="L264" i="25"/>
  <c r="N280" i="25"/>
  <c r="O280" i="25" s="1"/>
  <c r="L280" i="25"/>
  <c r="L296" i="25"/>
  <c r="N296" i="25"/>
  <c r="O296" i="25" s="1"/>
  <c r="N312" i="25"/>
  <c r="O312" i="25" s="1"/>
  <c r="L312" i="25"/>
  <c r="N225" i="25"/>
  <c r="O225" i="25" s="1"/>
  <c r="L225" i="25"/>
  <c r="N241" i="25"/>
  <c r="O241" i="25" s="1"/>
  <c r="L241" i="25"/>
  <c r="N257" i="25"/>
  <c r="O257" i="25" s="1"/>
  <c r="L257" i="25"/>
  <c r="N273" i="25"/>
  <c r="O273" i="25" s="1"/>
  <c r="L273" i="25"/>
  <c r="N289" i="25"/>
  <c r="O289" i="25" s="1"/>
  <c r="L289" i="25"/>
  <c r="L305" i="25"/>
  <c r="N305" i="25"/>
  <c r="O305" i="25" s="1"/>
  <c r="N270" i="25"/>
  <c r="O270" i="25" s="1"/>
  <c r="L270" i="25"/>
  <c r="L274" i="25"/>
  <c r="N274" i="25"/>
  <c r="O274" i="25" s="1"/>
  <c r="N278" i="25"/>
  <c r="O278" i="25" s="1"/>
  <c r="L278" i="25"/>
  <c r="N266" i="25"/>
  <c r="O266" i="25" s="1"/>
  <c r="L266" i="25"/>
  <c r="N294" i="25"/>
  <c r="O294" i="25" s="1"/>
  <c r="L294" i="25"/>
  <c r="L310" i="25"/>
  <c r="N310" i="25"/>
  <c r="O310" i="25" s="1"/>
  <c r="L223" i="25"/>
  <c r="N223" i="25"/>
  <c r="O223" i="25" s="1"/>
  <c r="L239" i="25"/>
  <c r="N239" i="25"/>
  <c r="O239" i="25" s="1"/>
  <c r="L255" i="25"/>
  <c r="N255" i="25"/>
  <c r="O255" i="25" s="1"/>
  <c r="L271" i="25"/>
  <c r="N271" i="25"/>
  <c r="O271" i="25" s="1"/>
  <c r="L287" i="25"/>
  <c r="N287" i="25"/>
  <c r="O287" i="25" s="1"/>
  <c r="L303" i="25"/>
  <c r="N303" i="25"/>
  <c r="O303" i="25" s="1"/>
  <c r="N220" i="25"/>
  <c r="O220" i="25" s="1"/>
  <c r="L220" i="25"/>
  <c r="N236" i="25"/>
  <c r="O236" i="25" s="1"/>
  <c r="L236" i="25"/>
  <c r="N252" i="25"/>
  <c r="O252" i="25" s="1"/>
  <c r="L252" i="25"/>
  <c r="N268" i="25"/>
  <c r="O268" i="25" s="1"/>
  <c r="L268" i="25"/>
  <c r="N284" i="25"/>
  <c r="O284" i="25" s="1"/>
  <c r="L284" i="25"/>
  <c r="L300" i="25"/>
  <c r="N300" i="25"/>
  <c r="O300" i="25" s="1"/>
  <c r="N316" i="25"/>
  <c r="O316" i="25" s="1"/>
  <c r="L316" i="25"/>
  <c r="N229" i="25"/>
  <c r="O229" i="25" s="1"/>
  <c r="L229" i="25"/>
  <c r="N245" i="25"/>
  <c r="O245" i="25" s="1"/>
  <c r="L245" i="25"/>
  <c r="N261" i="25"/>
  <c r="O261" i="25" s="1"/>
  <c r="L261" i="25"/>
  <c r="L277" i="25"/>
  <c r="N277" i="25"/>
  <c r="O277" i="25" s="1"/>
  <c r="N293" i="25"/>
  <c r="O293" i="25" s="1"/>
  <c r="L293" i="25"/>
  <c r="L309" i="25"/>
  <c r="N309" i="25"/>
  <c r="O309" i="25" s="1"/>
  <c r="L222" i="25"/>
  <c r="N222" i="25"/>
  <c r="O222" i="25" s="1"/>
  <c r="L226" i="25"/>
  <c r="N226" i="25"/>
  <c r="O226" i="25" s="1"/>
  <c r="L230" i="25"/>
  <c r="N230" i="25"/>
  <c r="O230" i="25" s="1"/>
  <c r="L218" i="25"/>
  <c r="N218" i="25"/>
  <c r="O218" i="25" s="1"/>
  <c r="N282" i="25"/>
  <c r="O282" i="25" s="1"/>
  <c r="L282" i="25"/>
  <c r="N298" i="25"/>
  <c r="O298" i="25" s="1"/>
  <c r="L298" i="25"/>
  <c r="N314" i="25"/>
  <c r="O314" i="25" s="1"/>
  <c r="L314" i="25"/>
  <c r="N227" i="25"/>
  <c r="O227" i="25" s="1"/>
  <c r="L227" i="25"/>
  <c r="L243" i="25"/>
  <c r="N243" i="25"/>
  <c r="O243" i="25" s="1"/>
  <c r="L259" i="25"/>
  <c r="N259" i="25"/>
  <c r="O259" i="25" s="1"/>
  <c r="N275" i="25"/>
  <c r="O275" i="25" s="1"/>
  <c r="L275" i="25"/>
  <c r="L291" i="25"/>
  <c r="N291" i="25"/>
  <c r="O291" i="25" s="1"/>
  <c r="N307" i="25"/>
  <c r="O307" i="25" s="1"/>
  <c r="L307" i="25"/>
  <c r="N224" i="25"/>
  <c r="O224" i="25" s="1"/>
  <c r="L224" i="25"/>
  <c r="L240" i="25"/>
  <c r="N240" i="25"/>
  <c r="O240" i="25" s="1"/>
  <c r="L256" i="25"/>
  <c r="N256" i="25"/>
  <c r="O256" i="25" s="1"/>
  <c r="N272" i="25"/>
  <c r="O272" i="25" s="1"/>
  <c r="L272" i="25"/>
  <c r="N288" i="25"/>
  <c r="O288" i="25" s="1"/>
  <c r="L288" i="25"/>
  <c r="L304" i="25"/>
  <c r="N304" i="25"/>
  <c r="O304" i="25" s="1"/>
  <c r="N217" i="25"/>
  <c r="O217" i="25" s="1"/>
  <c r="L217" i="25"/>
  <c r="N233" i="25"/>
  <c r="O233" i="25" s="1"/>
  <c r="L233" i="25"/>
  <c r="N249" i="25"/>
  <c r="O249" i="25" s="1"/>
  <c r="L249" i="25"/>
  <c r="N265" i="25"/>
  <c r="O265" i="25" s="1"/>
  <c r="L265" i="25"/>
  <c r="N281" i="25"/>
  <c r="O281" i="25" s="1"/>
  <c r="L281" i="25"/>
  <c r="N297" i="25"/>
  <c r="O297" i="25" s="1"/>
  <c r="L297" i="25"/>
  <c r="L313" i="25"/>
  <c r="N313" i="25"/>
  <c r="O313" i="25" s="1"/>
  <c r="F314" i="25"/>
  <c r="F310" i="25"/>
  <c r="F306" i="25"/>
  <c r="F304" i="25"/>
  <c r="F303" i="25"/>
  <c r="F302" i="25"/>
  <c r="F301" i="25"/>
  <c r="F315" i="25"/>
  <c r="F311" i="25"/>
  <c r="F307" i="25"/>
  <c r="F305" i="25"/>
  <c r="F300" i="25"/>
  <c r="F296" i="25"/>
  <c r="F292" i="25"/>
  <c r="F288" i="25"/>
  <c r="F284" i="25"/>
  <c r="F313" i="25"/>
  <c r="F312" i="25"/>
  <c r="F297" i="25"/>
  <c r="F293" i="25"/>
  <c r="F289" i="25"/>
  <c r="F285" i="25"/>
  <c r="F281" i="25"/>
  <c r="F279" i="25"/>
  <c r="F275" i="25"/>
  <c r="F271" i="25"/>
  <c r="F316" i="25"/>
  <c r="F309" i="25"/>
  <c r="F280" i="25"/>
  <c r="F276" i="25"/>
  <c r="F272" i="25"/>
  <c r="F294" i="25"/>
  <c r="F286" i="25"/>
  <c r="F265" i="25"/>
  <c r="F261" i="25"/>
  <c r="F257" i="25"/>
  <c r="F253" i="25"/>
  <c r="F249" i="25"/>
  <c r="F245" i="25"/>
  <c r="F241" i="25"/>
  <c r="F237" i="25"/>
  <c r="F233" i="25"/>
  <c r="F208" i="25"/>
  <c r="F204" i="25"/>
  <c r="F200" i="25"/>
  <c r="F299" i="25"/>
  <c r="F291" i="25"/>
  <c r="F283" i="25"/>
  <c r="F266" i="25"/>
  <c r="F262" i="25"/>
  <c r="F258" i="25"/>
  <c r="F254" i="25"/>
  <c r="F250" i="25"/>
  <c r="F246" i="25"/>
  <c r="F242" i="25"/>
  <c r="F238" i="25"/>
  <c r="F234" i="25"/>
  <c r="F207" i="25"/>
  <c r="F203" i="25"/>
  <c r="F308" i="25"/>
  <c r="F298" i="25"/>
  <c r="F282" i="25"/>
  <c r="F228" i="25"/>
  <c r="F224" i="25"/>
  <c r="F220" i="25"/>
  <c r="F210" i="25"/>
  <c r="F209" i="25"/>
  <c r="F206" i="25"/>
  <c r="F205" i="25"/>
  <c r="F202" i="25"/>
  <c r="F201" i="25"/>
  <c r="F199" i="25"/>
  <c r="F195" i="25"/>
  <c r="F191" i="25"/>
  <c r="F187" i="25"/>
  <c r="F183" i="25"/>
  <c r="F179" i="25"/>
  <c r="F175" i="25"/>
  <c r="F171" i="25"/>
  <c r="F167" i="25"/>
  <c r="F163" i="25"/>
  <c r="F159" i="25"/>
  <c r="F155" i="25"/>
  <c r="F151" i="25"/>
  <c r="F147" i="25"/>
  <c r="F143" i="25"/>
  <c r="F139" i="25"/>
  <c r="F135" i="25"/>
  <c r="F131" i="25"/>
  <c r="F287" i="25"/>
  <c r="F278" i="25"/>
  <c r="F274" i="25"/>
  <c r="F270" i="25"/>
  <c r="F268" i="25"/>
  <c r="F267" i="25"/>
  <c r="F264" i="25"/>
  <c r="F263" i="25"/>
  <c r="F260" i="25"/>
  <c r="F259" i="25"/>
  <c r="F256" i="25"/>
  <c r="F255" i="25"/>
  <c r="F252" i="25"/>
  <c r="F251" i="25"/>
  <c r="F248" i="25"/>
  <c r="F247" i="25"/>
  <c r="F244" i="25"/>
  <c r="F243" i="25"/>
  <c r="F240" i="25"/>
  <c r="F239" i="25"/>
  <c r="F236" i="25"/>
  <c r="F235" i="25"/>
  <c r="F232" i="25"/>
  <c r="F229" i="25"/>
  <c r="F225" i="25"/>
  <c r="F221" i="25"/>
  <c r="F217" i="25"/>
  <c r="F198" i="25"/>
  <c r="F194" i="25"/>
  <c r="F190" i="25"/>
  <c r="F186" i="25"/>
  <c r="F182" i="25"/>
  <c r="F178" i="25"/>
  <c r="F174" i="25"/>
  <c r="F170" i="25"/>
  <c r="F166" i="25"/>
  <c r="F162" i="25"/>
  <c r="F158" i="25"/>
  <c r="F154" i="25"/>
  <c r="F150" i="25"/>
  <c r="F146" i="25"/>
  <c r="F142" i="25"/>
  <c r="F138" i="25"/>
  <c r="F134" i="25"/>
  <c r="F130" i="25"/>
  <c r="F197" i="25"/>
  <c r="F196" i="25"/>
  <c r="F193" i="25"/>
  <c r="F192" i="25"/>
  <c r="F189" i="25"/>
  <c r="F188" i="25"/>
  <c r="F185" i="25"/>
  <c r="F184" i="25"/>
  <c r="F181" i="25"/>
  <c r="F180" i="25"/>
  <c r="F177" i="25"/>
  <c r="F176" i="25"/>
  <c r="F173" i="25"/>
  <c r="F172" i="25"/>
  <c r="F169" i="25"/>
  <c r="F168" i="25"/>
  <c r="F165" i="25"/>
  <c r="F164" i="25"/>
  <c r="F161" i="25"/>
  <c r="F160" i="25"/>
  <c r="F157" i="25"/>
  <c r="F156" i="25"/>
  <c r="F153" i="25"/>
  <c r="F152" i="25"/>
  <c r="F149" i="25"/>
  <c r="F148" i="25"/>
  <c r="F145" i="25"/>
  <c r="F144" i="25"/>
  <c r="F141" i="25"/>
  <c r="F140" i="25"/>
  <c r="F137" i="25"/>
  <c r="F136" i="25"/>
  <c r="F133" i="25"/>
  <c r="F132" i="25"/>
  <c r="F129" i="25"/>
  <c r="F128" i="25"/>
  <c r="F127" i="25"/>
  <c r="F123" i="25"/>
  <c r="F119" i="25"/>
  <c r="F115" i="25"/>
  <c r="F111" i="25"/>
  <c r="F105" i="25"/>
  <c r="F104" i="25"/>
  <c r="F103" i="25"/>
  <c r="F102" i="25"/>
  <c r="F101" i="25"/>
  <c r="F100" i="25"/>
  <c r="F99" i="25"/>
  <c r="F98" i="25"/>
  <c r="F97" i="25"/>
  <c r="F96" i="25"/>
  <c r="F95" i="25"/>
  <c r="F94" i="25"/>
  <c r="F93" i="25"/>
  <c r="F92" i="25"/>
  <c r="F91" i="25"/>
  <c r="F290" i="25"/>
  <c r="F277" i="25"/>
  <c r="F273" i="25"/>
  <c r="F269" i="25"/>
  <c r="F231" i="25"/>
  <c r="F230" i="25"/>
  <c r="F227" i="25"/>
  <c r="F226" i="25"/>
  <c r="F223" i="25"/>
  <c r="F222" i="25"/>
  <c r="F219" i="25"/>
  <c r="F218" i="25"/>
  <c r="F126" i="25"/>
  <c r="F122" i="25"/>
  <c r="F118" i="25"/>
  <c r="F114" i="25"/>
  <c r="F295" i="25"/>
  <c r="F87" i="25"/>
  <c r="F83" i="25"/>
  <c r="F79" i="25"/>
  <c r="F75" i="25"/>
  <c r="F71" i="25"/>
  <c r="F67" i="25"/>
  <c r="F63" i="25"/>
  <c r="F59" i="25"/>
  <c r="F55" i="25"/>
  <c r="F51" i="25"/>
  <c r="F47" i="25"/>
  <c r="F43" i="25"/>
  <c r="F39" i="25"/>
  <c r="F31" i="25"/>
  <c r="F27" i="25"/>
  <c r="F23" i="25"/>
  <c r="F19" i="25"/>
  <c r="F15" i="25"/>
  <c r="F125" i="25"/>
  <c r="F117" i="25"/>
  <c r="F113" i="25"/>
  <c r="F85" i="25"/>
  <c r="F77" i="25"/>
  <c r="F73" i="25"/>
  <c r="F65" i="25"/>
  <c r="F61" i="25"/>
  <c r="F57" i="25"/>
  <c r="F49" i="25"/>
  <c r="F33" i="25"/>
  <c r="F29" i="25"/>
  <c r="F25" i="25"/>
  <c r="F17" i="25"/>
  <c r="F13" i="25"/>
  <c r="F11" i="25"/>
  <c r="F10" i="25"/>
  <c r="F9" i="25"/>
  <c r="F8" i="25"/>
  <c r="F124" i="25"/>
  <c r="F120" i="25"/>
  <c r="F116" i="25"/>
  <c r="F112" i="25"/>
  <c r="F90" i="25"/>
  <c r="F86" i="25"/>
  <c r="F82" i="25"/>
  <c r="F78" i="25"/>
  <c r="F74" i="25"/>
  <c r="F70" i="25"/>
  <c r="F66" i="25"/>
  <c r="F62" i="25"/>
  <c r="F54" i="25"/>
  <c r="F88" i="25"/>
  <c r="F84" i="25"/>
  <c r="F80" i="25"/>
  <c r="F76" i="25"/>
  <c r="F72" i="25"/>
  <c r="F68" i="25"/>
  <c r="F64" i="25"/>
  <c r="F60" i="25"/>
  <c r="F56" i="25"/>
  <c r="F52" i="25"/>
  <c r="F48" i="25"/>
  <c r="F44" i="25"/>
  <c r="F40" i="25"/>
  <c r="F32" i="25"/>
  <c r="F28" i="25"/>
  <c r="F24" i="25"/>
  <c r="F20" i="25"/>
  <c r="F16" i="25"/>
  <c r="F12" i="25"/>
  <c r="F121" i="25"/>
  <c r="F89" i="25"/>
  <c r="F81" i="25"/>
  <c r="F69" i="25"/>
  <c r="F53" i="25"/>
  <c r="F45" i="25"/>
  <c r="F41" i="25"/>
  <c r="F21" i="25"/>
  <c r="F58" i="25"/>
  <c r="F50" i="25"/>
  <c r="F46" i="25"/>
  <c r="F42" i="25"/>
  <c r="F38" i="25"/>
  <c r="F37" i="25"/>
  <c r="F36" i="25"/>
  <c r="F35" i="25"/>
  <c r="F34" i="25"/>
  <c r="F30" i="25"/>
  <c r="F26" i="25"/>
  <c r="F22" i="25"/>
  <c r="F18" i="25"/>
  <c r="F14" i="25"/>
  <c r="B93" i="2"/>
  <c r="M180" i="24"/>
  <c r="N180" i="24" s="1"/>
  <c r="K128" i="24"/>
  <c r="K115" i="24"/>
  <c r="B34" i="2"/>
  <c r="B36" i="2" s="1"/>
  <c r="B22" i="2"/>
  <c r="M144" i="24"/>
  <c r="N144" i="24" s="1"/>
  <c r="M113" i="24"/>
  <c r="N113" i="24" s="1"/>
  <c r="K116" i="24"/>
  <c r="K179" i="24"/>
  <c r="M200" i="24"/>
  <c r="N200" i="24" s="1"/>
  <c r="M146" i="24"/>
  <c r="N146" i="24" s="1"/>
  <c r="K188" i="24"/>
  <c r="M193" i="24"/>
  <c r="N193" i="24" s="1"/>
  <c r="K161" i="24"/>
  <c r="M129" i="24"/>
  <c r="N129" i="24" s="1"/>
  <c r="M191" i="24"/>
  <c r="N191" i="24" s="1"/>
  <c r="K187" i="24"/>
  <c r="M126" i="24"/>
  <c r="N126" i="24" s="1"/>
  <c r="K167" i="24"/>
  <c r="M209" i="24"/>
  <c r="N209" i="24" s="1"/>
  <c r="K208" i="24"/>
  <c r="K210" i="24"/>
  <c r="M166" i="24"/>
  <c r="N166" i="24" s="1"/>
  <c r="M120" i="24"/>
  <c r="N120" i="24" s="1"/>
  <c r="K177" i="24"/>
  <c r="M158" i="24"/>
  <c r="N158" i="24" s="1"/>
  <c r="K170" i="24"/>
  <c r="K148" i="24"/>
  <c r="K145" i="24"/>
  <c r="M135" i="24"/>
  <c r="N135" i="24" s="1"/>
  <c r="F17" i="23"/>
  <c r="J17" i="23" s="1"/>
  <c r="M176" i="24"/>
  <c r="N176" i="24" s="1"/>
  <c r="M156" i="24"/>
  <c r="N156" i="24" s="1"/>
  <c r="M118" i="24"/>
  <c r="N118" i="24" s="1"/>
  <c r="K137" i="24"/>
  <c r="M132" i="24"/>
  <c r="N132" i="24" s="1"/>
  <c r="K136" i="24"/>
  <c r="K201" i="24"/>
  <c r="I33" i="23"/>
  <c r="M114" i="24"/>
  <c r="N114" i="24" s="1"/>
  <c r="K194" i="24"/>
  <c r="K206" i="24"/>
  <c r="K163" i="24"/>
  <c r="F54" i="23"/>
  <c r="J54" i="23" s="1"/>
  <c r="M130" i="24"/>
  <c r="N130" i="24" s="1"/>
  <c r="K192" i="24"/>
  <c r="K199" i="24"/>
  <c r="K196" i="24"/>
  <c r="M151" i="24"/>
  <c r="N151" i="24" s="1"/>
  <c r="K172" i="24"/>
  <c r="K123" i="24"/>
  <c r="M175" i="24"/>
  <c r="N175" i="24" s="1"/>
  <c r="K165" i="24"/>
  <c r="K181" i="24"/>
  <c r="K154" i="24"/>
  <c r="M117" i="24"/>
  <c r="N117" i="24" s="1"/>
  <c r="M124" i="24"/>
  <c r="N124" i="24" s="1"/>
  <c r="K142" i="24"/>
  <c r="I9" i="23"/>
  <c r="I70" i="23"/>
  <c r="M168" i="24"/>
  <c r="N168" i="24" s="1"/>
  <c r="M197" i="24"/>
  <c r="N197" i="24" s="1"/>
  <c r="K134" i="24"/>
  <c r="K182" i="24"/>
  <c r="F32" i="23"/>
  <c r="J32" i="23" s="1"/>
  <c r="F49" i="23"/>
  <c r="G49" i="23" s="1"/>
  <c r="H49" i="23" s="1"/>
  <c r="M153" i="24"/>
  <c r="N153" i="24" s="1"/>
  <c r="K131" i="24"/>
  <c r="M178" i="24"/>
  <c r="N178" i="24" s="1"/>
  <c r="K125" i="24"/>
  <c r="M202" i="24"/>
  <c r="N202" i="24" s="1"/>
  <c r="F103" i="23"/>
  <c r="G103" i="23" s="1"/>
  <c r="H103" i="23" s="1"/>
  <c r="F53" i="23"/>
  <c r="J53" i="23" s="1"/>
  <c r="K169" i="24"/>
  <c r="M198" i="24"/>
  <c r="N198" i="24" s="1"/>
  <c r="K150" i="24"/>
  <c r="K119" i="24"/>
  <c r="K110" i="24"/>
  <c r="K152" i="24"/>
  <c r="I16" i="23"/>
  <c r="F46" i="23"/>
  <c r="J46" i="23" s="1"/>
  <c r="I43" i="23"/>
  <c r="I36" i="23"/>
  <c r="F67" i="23"/>
  <c r="G67" i="23" s="1"/>
  <c r="H67" i="23" s="1"/>
  <c r="K155" i="24"/>
  <c r="K159" i="24"/>
  <c r="M127" i="24"/>
  <c r="N127" i="24" s="1"/>
  <c r="M121" i="24"/>
  <c r="N121" i="24" s="1"/>
  <c r="M147" i="24"/>
  <c r="N147" i="24" s="1"/>
  <c r="M190" i="24"/>
  <c r="N190" i="24" s="1"/>
  <c r="M173" i="24"/>
  <c r="N173" i="24" s="1"/>
  <c r="M164" i="24"/>
  <c r="N164" i="24" s="1"/>
  <c r="K162" i="24"/>
  <c r="I59" i="23"/>
  <c r="F30" i="23"/>
  <c r="J30" i="23" s="1"/>
  <c r="F88" i="23"/>
  <c r="G88" i="23" s="1"/>
  <c r="H88" i="23" s="1"/>
  <c r="I78" i="23"/>
  <c r="K122" i="24"/>
  <c r="M185" i="24"/>
  <c r="N185" i="24" s="1"/>
  <c r="M140" i="24"/>
  <c r="N140" i="24" s="1"/>
  <c r="M189" i="24"/>
  <c r="N189" i="24" s="1"/>
  <c r="I27" i="23"/>
  <c r="I75" i="23"/>
  <c r="F73" i="23"/>
  <c r="J73" i="23" s="1"/>
  <c r="F71" i="23"/>
  <c r="J71" i="23" s="1"/>
  <c r="I48" i="23"/>
  <c r="F84" i="23"/>
  <c r="G84" i="23" s="1"/>
  <c r="H84" i="23" s="1"/>
  <c r="F6" i="23"/>
  <c r="J6" i="23" s="1"/>
  <c r="F25" i="23"/>
  <c r="J25" i="23" s="1"/>
  <c r="I23" i="23"/>
  <c r="F60" i="23"/>
  <c r="G60" i="23" s="1"/>
  <c r="H60" i="23" s="1"/>
  <c r="I38" i="23"/>
  <c r="I62" i="23"/>
  <c r="K149" i="24"/>
  <c r="M111" i="24"/>
  <c r="N111" i="24" s="1"/>
  <c r="M138" i="24"/>
  <c r="N138" i="24" s="1"/>
  <c r="K112" i="24"/>
  <c r="K207" i="24"/>
  <c r="M171" i="24"/>
  <c r="N171" i="24" s="1"/>
  <c r="K157" i="24"/>
  <c r="M184" i="24"/>
  <c r="N184" i="24" s="1"/>
  <c r="K203" i="24"/>
  <c r="M133" i="24"/>
  <c r="N133" i="24" s="1"/>
  <c r="M143" i="24"/>
  <c r="N143" i="24" s="1"/>
  <c r="F105" i="23"/>
  <c r="J105" i="23" s="1"/>
  <c r="F94" i="23"/>
  <c r="J94" i="23" s="1"/>
  <c r="I41" i="23"/>
  <c r="F92" i="23"/>
  <c r="J92" i="23" s="1"/>
  <c r="M204" i="24"/>
  <c r="N204" i="24" s="1"/>
  <c r="M139" i="24"/>
  <c r="N139" i="24" s="1"/>
  <c r="M174" i="24"/>
  <c r="N174" i="24" s="1"/>
  <c r="M160" i="24"/>
  <c r="N160" i="24" s="1"/>
  <c r="K205" i="24"/>
  <c r="M195" i="24"/>
  <c r="N195" i="24" s="1"/>
  <c r="M141" i="24"/>
  <c r="N141" i="24" s="1"/>
  <c r="A226" i="2"/>
  <c r="C226" i="2"/>
  <c r="I11" i="23"/>
  <c r="F101" i="23"/>
  <c r="J101" i="23" s="1"/>
  <c r="F20" i="23"/>
  <c r="G20" i="23" s="1"/>
  <c r="H20" i="23" s="1"/>
  <c r="F81" i="23"/>
  <c r="J81" i="23" s="1"/>
  <c r="F14" i="23"/>
  <c r="J14" i="23" s="1"/>
  <c r="F22" i="23"/>
  <c r="J22" i="23" s="1"/>
  <c r="F63" i="23"/>
  <c r="G63" i="23" s="1"/>
  <c r="H63" i="23" s="1"/>
  <c r="K186" i="24"/>
  <c r="K183" i="24"/>
  <c r="F219" i="24"/>
  <c r="F223" i="24"/>
  <c r="F227" i="24"/>
  <c r="F231" i="24"/>
  <c r="F235" i="24"/>
  <c r="F239" i="24"/>
  <c r="F243" i="24"/>
  <c r="F247" i="24"/>
  <c r="F251" i="24"/>
  <c r="F255" i="24"/>
  <c r="F259" i="24"/>
  <c r="F263" i="24"/>
  <c r="F267" i="24"/>
  <c r="F271" i="24"/>
  <c r="F275" i="24"/>
  <c r="F279" i="24"/>
  <c r="F283" i="24"/>
  <c r="F287" i="24"/>
  <c r="F291" i="24"/>
  <c r="F295" i="24"/>
  <c r="F299" i="24"/>
  <c r="F303" i="24"/>
  <c r="F307" i="24"/>
  <c r="F311" i="24"/>
  <c r="F315" i="24"/>
  <c r="F132" i="24"/>
  <c r="F136" i="24"/>
  <c r="F140" i="24"/>
  <c r="F144" i="24"/>
  <c r="F148" i="24"/>
  <c r="F152" i="24"/>
  <c r="F156" i="24"/>
  <c r="F160" i="24"/>
  <c r="F164" i="24"/>
  <c r="F168" i="24"/>
  <c r="F172" i="24"/>
  <c r="F176" i="24"/>
  <c r="F180" i="24"/>
  <c r="F184" i="24"/>
  <c r="F188" i="24"/>
  <c r="F192" i="24"/>
  <c r="F196" i="24"/>
  <c r="F200" i="24"/>
  <c r="F204" i="24"/>
  <c r="F208" i="24"/>
  <c r="F114" i="24"/>
  <c r="F118" i="24"/>
  <c r="F122" i="24"/>
  <c r="F126" i="24"/>
  <c r="F130" i="24"/>
  <c r="F157" i="24"/>
  <c r="F161" i="24"/>
  <c r="F169" i="24"/>
  <c r="F177" i="24"/>
  <c r="F181" i="24"/>
  <c r="F189" i="24"/>
  <c r="F193" i="24"/>
  <c r="F201" i="24"/>
  <c r="F205" i="24"/>
  <c r="F115" i="24"/>
  <c r="F119" i="24"/>
  <c r="F127" i="24"/>
  <c r="F112" i="24"/>
  <c r="F194" i="24"/>
  <c r="F206" i="24"/>
  <c r="F210" i="24"/>
  <c r="F124" i="24"/>
  <c r="F128" i="24"/>
  <c r="F222" i="24"/>
  <c r="F234" i="24"/>
  <c r="F246" i="24"/>
  <c r="F258" i="24"/>
  <c r="F270" i="24"/>
  <c r="F274" i="24"/>
  <c r="F286" i="24"/>
  <c r="F298" i="24"/>
  <c r="F302" i="24"/>
  <c r="F314" i="24"/>
  <c r="F217" i="24"/>
  <c r="F135" i="24"/>
  <c r="F143" i="24"/>
  <c r="F151" i="24"/>
  <c r="F159" i="24"/>
  <c r="F171" i="24"/>
  <c r="F175" i="24"/>
  <c r="F220" i="24"/>
  <c r="F224" i="24"/>
  <c r="F228" i="24"/>
  <c r="F232" i="24"/>
  <c r="F236" i="24"/>
  <c r="F240" i="24"/>
  <c r="F244" i="24"/>
  <c r="F248" i="24"/>
  <c r="F252" i="24"/>
  <c r="F256" i="24"/>
  <c r="F260" i="24"/>
  <c r="F264" i="24"/>
  <c r="F268" i="24"/>
  <c r="F272" i="24"/>
  <c r="F276" i="24"/>
  <c r="F280" i="24"/>
  <c r="F284" i="24"/>
  <c r="F288" i="24"/>
  <c r="F292" i="24"/>
  <c r="F296" i="24"/>
  <c r="F300" i="24"/>
  <c r="F304" i="24"/>
  <c r="F308" i="24"/>
  <c r="F312" i="24"/>
  <c r="F316" i="24"/>
  <c r="F133" i="24"/>
  <c r="F137" i="24"/>
  <c r="F141" i="24"/>
  <c r="F145" i="24"/>
  <c r="F149" i="24"/>
  <c r="F153" i="24"/>
  <c r="F165" i="24"/>
  <c r="F173" i="24"/>
  <c r="F185" i="24"/>
  <c r="F197" i="24"/>
  <c r="F209" i="24"/>
  <c r="F123" i="24"/>
  <c r="F190" i="24"/>
  <c r="F198" i="24"/>
  <c r="F116" i="24"/>
  <c r="F230" i="24"/>
  <c r="F238" i="24"/>
  <c r="F254" i="24"/>
  <c r="F266" i="24"/>
  <c r="F278" i="24"/>
  <c r="F290" i="24"/>
  <c r="F306" i="24"/>
  <c r="F139" i="24"/>
  <c r="F155" i="24"/>
  <c r="F167" i="24"/>
  <c r="F183" i="24"/>
  <c r="F221" i="24"/>
  <c r="F225" i="24"/>
  <c r="F229" i="24"/>
  <c r="F233" i="24"/>
  <c r="F237" i="24"/>
  <c r="F241" i="24"/>
  <c r="F245" i="24"/>
  <c r="F249" i="24"/>
  <c r="F253" i="24"/>
  <c r="F257" i="24"/>
  <c r="F261" i="24"/>
  <c r="F265" i="24"/>
  <c r="F269" i="24"/>
  <c r="F273" i="24"/>
  <c r="F277" i="24"/>
  <c r="F281" i="24"/>
  <c r="F285" i="24"/>
  <c r="F289" i="24"/>
  <c r="F293" i="24"/>
  <c r="F297" i="24"/>
  <c r="F301" i="24"/>
  <c r="F305" i="24"/>
  <c r="F309" i="24"/>
  <c r="F313" i="24"/>
  <c r="F218" i="24"/>
  <c r="F134" i="24"/>
  <c r="F138" i="24"/>
  <c r="F142" i="24"/>
  <c r="F146" i="24"/>
  <c r="F150" i="24"/>
  <c r="F154" i="24"/>
  <c r="F158" i="24"/>
  <c r="F162" i="24"/>
  <c r="F166" i="24"/>
  <c r="F170" i="24"/>
  <c r="F174" i="24"/>
  <c r="F178" i="24"/>
  <c r="F182" i="24"/>
  <c r="F186" i="24"/>
  <c r="F202" i="24"/>
  <c r="F120" i="24"/>
  <c r="F111" i="24"/>
  <c r="F226" i="24"/>
  <c r="F242" i="24"/>
  <c r="F250" i="24"/>
  <c r="F262" i="24"/>
  <c r="F282" i="24"/>
  <c r="F294" i="24"/>
  <c r="F310" i="24"/>
  <c r="F131" i="24"/>
  <c r="F147" i="24"/>
  <c r="F163" i="24"/>
  <c r="F179" i="24"/>
  <c r="F191" i="24"/>
  <c r="F207" i="24"/>
  <c r="F125" i="24"/>
  <c r="F129" i="24"/>
  <c r="F121" i="24"/>
  <c r="F195" i="24"/>
  <c r="F113" i="24"/>
  <c r="F203" i="24"/>
  <c r="F199" i="24"/>
  <c r="F117" i="24"/>
  <c r="F187" i="24"/>
  <c r="I99" i="23"/>
  <c r="F80" i="23"/>
  <c r="J80" i="23" s="1"/>
  <c r="I31" i="23"/>
  <c r="I96" i="23"/>
  <c r="F77" i="23"/>
  <c r="G77" i="23" s="1"/>
  <c r="H77" i="23" s="1"/>
  <c r="I56" i="23"/>
  <c r="I86" i="23"/>
  <c r="K312" i="24"/>
  <c r="M312" i="24"/>
  <c r="N312" i="24" s="1"/>
  <c r="K276" i="24"/>
  <c r="M276" i="24"/>
  <c r="N276" i="24" s="1"/>
  <c r="K244" i="24"/>
  <c r="M244" i="24"/>
  <c r="N244" i="24" s="1"/>
  <c r="M315" i="24"/>
  <c r="N315" i="24" s="1"/>
  <c r="K315" i="24"/>
  <c r="M279" i="24"/>
  <c r="N279" i="24" s="1"/>
  <c r="Q279" i="24" s="1"/>
  <c r="K279" i="24"/>
  <c r="K247" i="24"/>
  <c r="M247" i="24"/>
  <c r="N247" i="24" s="1"/>
  <c r="M223" i="24"/>
  <c r="N223" i="24" s="1"/>
  <c r="K223" i="24"/>
  <c r="K302" i="24"/>
  <c r="M302" i="24"/>
  <c r="N302" i="24" s="1"/>
  <c r="K286" i="24"/>
  <c r="M286" i="24"/>
  <c r="N286" i="24" s="1"/>
  <c r="M270" i="24"/>
  <c r="N270" i="24" s="1"/>
  <c r="K270" i="24"/>
  <c r="M254" i="24"/>
  <c r="N254" i="24" s="1"/>
  <c r="K254" i="24"/>
  <c r="M238" i="24"/>
  <c r="N238" i="24" s="1"/>
  <c r="K238" i="24"/>
  <c r="K222" i="24"/>
  <c r="M222" i="24"/>
  <c r="N222" i="24" s="1"/>
  <c r="K296" i="24"/>
  <c r="M296" i="24"/>
  <c r="N296" i="24" s="1"/>
  <c r="M264" i="24"/>
  <c r="N264" i="24" s="1"/>
  <c r="K264" i="24"/>
  <c r="M232" i="24"/>
  <c r="N232" i="24" s="1"/>
  <c r="K232" i="24"/>
  <c r="M299" i="24"/>
  <c r="N299" i="24" s="1"/>
  <c r="K299" i="24"/>
  <c r="M267" i="24"/>
  <c r="N267" i="24" s="1"/>
  <c r="K267" i="24"/>
  <c r="K235" i="24"/>
  <c r="M235" i="24"/>
  <c r="N235" i="24" s="1"/>
  <c r="Q235" i="24" s="1"/>
  <c r="K309" i="24"/>
  <c r="M309" i="24"/>
  <c r="N309" i="24" s="1"/>
  <c r="Q309" i="24" s="1"/>
  <c r="K293" i="24"/>
  <c r="M293" i="24"/>
  <c r="N293" i="24" s="1"/>
  <c r="K277" i="24"/>
  <c r="M277" i="24"/>
  <c r="N277" i="24" s="1"/>
  <c r="M261" i="24"/>
  <c r="N261" i="24" s="1"/>
  <c r="K261" i="24"/>
  <c r="M245" i="24"/>
  <c r="N245" i="24" s="1"/>
  <c r="K245" i="24"/>
  <c r="M229" i="24"/>
  <c r="N229" i="24" s="1"/>
  <c r="K229" i="24"/>
  <c r="M304" i="24"/>
  <c r="N304" i="24" s="1"/>
  <c r="K304" i="24"/>
  <c r="K268" i="24"/>
  <c r="M268" i="24"/>
  <c r="N268" i="24" s="1"/>
  <c r="K236" i="24"/>
  <c r="M236" i="24"/>
  <c r="N236" i="24" s="1"/>
  <c r="M307" i="24"/>
  <c r="N307" i="24" s="1"/>
  <c r="K307" i="24"/>
  <c r="K271" i="24"/>
  <c r="M271" i="24"/>
  <c r="N271" i="24" s="1"/>
  <c r="M239" i="24"/>
  <c r="N239" i="24" s="1"/>
  <c r="K239" i="24"/>
  <c r="K314" i="24"/>
  <c r="M314" i="24"/>
  <c r="N314" i="24" s="1"/>
  <c r="K298" i="24"/>
  <c r="M298" i="24"/>
  <c r="N298" i="24" s="1"/>
  <c r="K282" i="24"/>
  <c r="M282" i="24"/>
  <c r="N282" i="24" s="1"/>
  <c r="M266" i="24"/>
  <c r="N266" i="24" s="1"/>
  <c r="K266" i="24"/>
  <c r="K250" i="24"/>
  <c r="M250" i="24"/>
  <c r="N250" i="24" s="1"/>
  <c r="K234" i="24"/>
  <c r="M234" i="24"/>
  <c r="N234" i="24" s="1"/>
  <c r="M218" i="24"/>
  <c r="N218" i="24" s="1"/>
  <c r="K218" i="24"/>
  <c r="M288" i="24"/>
  <c r="N288" i="24" s="1"/>
  <c r="K288" i="24"/>
  <c r="K256" i="24"/>
  <c r="M256" i="24"/>
  <c r="N256" i="24" s="1"/>
  <c r="Q256" i="24" s="1"/>
  <c r="K224" i="24"/>
  <c r="M224" i="24"/>
  <c r="N224" i="24" s="1"/>
  <c r="K291" i="24"/>
  <c r="M291" i="24"/>
  <c r="N291" i="24" s="1"/>
  <c r="Q291" i="24" s="1"/>
  <c r="M259" i="24"/>
  <c r="N259" i="24" s="1"/>
  <c r="K259" i="24"/>
  <c r="K219" i="24"/>
  <c r="M219" i="24"/>
  <c r="N219" i="24" s="1"/>
  <c r="K305" i="24"/>
  <c r="M305" i="24"/>
  <c r="N305" i="24" s="1"/>
  <c r="M289" i="24"/>
  <c r="N289" i="24" s="1"/>
  <c r="Q289" i="24" s="1"/>
  <c r="K289" i="24"/>
  <c r="K273" i="24"/>
  <c r="M273" i="24"/>
  <c r="N273" i="24" s="1"/>
  <c r="M257" i="24"/>
  <c r="N257" i="24" s="1"/>
  <c r="K257" i="24"/>
  <c r="M241" i="24"/>
  <c r="N241" i="24" s="1"/>
  <c r="K241" i="24"/>
  <c r="M225" i="24"/>
  <c r="N225" i="24" s="1"/>
  <c r="Q225" i="24" s="1"/>
  <c r="K225" i="24"/>
  <c r="M292" i="24"/>
  <c r="N292" i="24" s="1"/>
  <c r="K292" i="24"/>
  <c r="M260" i="24"/>
  <c r="N260" i="24" s="1"/>
  <c r="K260" i="24"/>
  <c r="M228" i="24"/>
  <c r="N228" i="24" s="1"/>
  <c r="Q228" i="24" s="1"/>
  <c r="K228" i="24"/>
  <c r="M295" i="24"/>
  <c r="N295" i="24" s="1"/>
  <c r="K295" i="24"/>
  <c r="M263" i="24"/>
  <c r="N263" i="24" s="1"/>
  <c r="Q263" i="24" s="1"/>
  <c r="K263" i="24"/>
  <c r="K231" i="24"/>
  <c r="M231" i="24"/>
  <c r="N231" i="24" s="1"/>
  <c r="K310" i="24"/>
  <c r="M310" i="24"/>
  <c r="N310" i="24" s="1"/>
  <c r="Q310" i="24" s="1"/>
  <c r="K294" i="24"/>
  <c r="M294" i="24"/>
  <c r="N294" i="24" s="1"/>
  <c r="M278" i="24"/>
  <c r="N278" i="24" s="1"/>
  <c r="K278" i="24"/>
  <c r="K262" i="24"/>
  <c r="M262" i="24"/>
  <c r="N262" i="24" s="1"/>
  <c r="K246" i="24"/>
  <c r="M246" i="24"/>
  <c r="N246" i="24" s="1"/>
  <c r="M230" i="24"/>
  <c r="N230" i="24" s="1"/>
  <c r="K230" i="24"/>
  <c r="K308" i="24"/>
  <c r="M308" i="24"/>
  <c r="N308" i="24" s="1"/>
  <c r="M280" i="24"/>
  <c r="N280" i="24" s="1"/>
  <c r="K280" i="24"/>
  <c r="K248" i="24"/>
  <c r="M248" i="24"/>
  <c r="N248" i="24" s="1"/>
  <c r="K311" i="24"/>
  <c r="M311" i="24"/>
  <c r="N311" i="24" s="1"/>
  <c r="K283" i="24"/>
  <c r="M283" i="24"/>
  <c r="N283" i="24" s="1"/>
  <c r="Q283" i="24" s="1"/>
  <c r="K251" i="24"/>
  <c r="M251" i="24"/>
  <c r="N251" i="24" s="1"/>
  <c r="K216" i="24"/>
  <c r="M216" i="24"/>
  <c r="K301" i="24"/>
  <c r="M301" i="24"/>
  <c r="N301" i="24" s="1"/>
  <c r="M285" i="24"/>
  <c r="N285" i="24" s="1"/>
  <c r="K285" i="24"/>
  <c r="K269" i="24"/>
  <c r="M269" i="24"/>
  <c r="N269" i="24" s="1"/>
  <c r="M253" i="24"/>
  <c r="N253" i="24" s="1"/>
  <c r="K253" i="24"/>
  <c r="K237" i="24"/>
  <c r="M237" i="24"/>
  <c r="N237" i="24" s="1"/>
  <c r="M221" i="24"/>
  <c r="N221" i="24" s="1"/>
  <c r="K221" i="24"/>
  <c r="I98" i="23"/>
  <c r="K316" i="24"/>
  <c r="M316" i="24"/>
  <c r="N316" i="24" s="1"/>
  <c r="K284" i="24"/>
  <c r="M284" i="24"/>
  <c r="N284" i="24" s="1"/>
  <c r="M252" i="24"/>
  <c r="N252" i="24" s="1"/>
  <c r="K252" i="24"/>
  <c r="M220" i="24"/>
  <c r="N220" i="24" s="1"/>
  <c r="K220" i="24"/>
  <c r="M287" i="24"/>
  <c r="N287" i="24" s="1"/>
  <c r="K287" i="24"/>
  <c r="K255" i="24"/>
  <c r="M255" i="24"/>
  <c r="N255" i="24" s="1"/>
  <c r="Q255" i="24" s="1"/>
  <c r="K227" i="24"/>
  <c r="M227" i="24"/>
  <c r="N227" i="24" s="1"/>
  <c r="K306" i="24"/>
  <c r="M306" i="24"/>
  <c r="N306" i="24" s="1"/>
  <c r="M290" i="24"/>
  <c r="N290" i="24" s="1"/>
  <c r="K290" i="24"/>
  <c r="K274" i="24"/>
  <c r="M274" i="24"/>
  <c r="N274" i="24" s="1"/>
  <c r="Q274" i="24" s="1"/>
  <c r="M258" i="24"/>
  <c r="N258" i="24" s="1"/>
  <c r="K258" i="24"/>
  <c r="M242" i="24"/>
  <c r="N242" i="24" s="1"/>
  <c r="K242" i="24"/>
  <c r="M226" i="24"/>
  <c r="N226" i="24" s="1"/>
  <c r="K226" i="24"/>
  <c r="K300" i="24"/>
  <c r="M300" i="24"/>
  <c r="N300" i="24" s="1"/>
  <c r="Q300" i="24" s="1"/>
  <c r="M272" i="24"/>
  <c r="N272" i="24" s="1"/>
  <c r="Q272" i="24" s="1"/>
  <c r="K272" i="24"/>
  <c r="K240" i="24"/>
  <c r="M240" i="24"/>
  <c r="N240" i="24" s="1"/>
  <c r="K303" i="24"/>
  <c r="M303" i="24"/>
  <c r="N303" i="24" s="1"/>
  <c r="K275" i="24"/>
  <c r="M275" i="24"/>
  <c r="N275" i="24" s="1"/>
  <c r="M243" i="24"/>
  <c r="N243" i="24" s="1"/>
  <c r="K243" i="24"/>
  <c r="K313" i="24"/>
  <c r="M313" i="24"/>
  <c r="N313" i="24" s="1"/>
  <c r="M297" i="24"/>
  <c r="N297" i="24" s="1"/>
  <c r="K297" i="24"/>
  <c r="M281" i="24"/>
  <c r="N281" i="24" s="1"/>
  <c r="K281" i="24"/>
  <c r="K265" i="24"/>
  <c r="M265" i="24"/>
  <c r="N265" i="24" s="1"/>
  <c r="Q265" i="24" s="1"/>
  <c r="K249" i="24"/>
  <c r="M249" i="24"/>
  <c r="N249" i="24" s="1"/>
  <c r="K233" i="24"/>
  <c r="M233" i="24"/>
  <c r="N233" i="24" s="1"/>
  <c r="K217" i="24"/>
  <c r="M217" i="24"/>
  <c r="N217" i="24" s="1"/>
  <c r="H109" i="19"/>
  <c r="H110" i="19" s="1"/>
  <c r="F6" i="24"/>
  <c r="F10" i="24"/>
  <c r="F14" i="24"/>
  <c r="F18" i="24"/>
  <c r="F22" i="24"/>
  <c r="F26" i="24"/>
  <c r="F30" i="24"/>
  <c r="F34" i="24"/>
  <c r="F38" i="24"/>
  <c r="F42" i="24"/>
  <c r="F46" i="24"/>
  <c r="F50" i="24"/>
  <c r="F54" i="24"/>
  <c r="F58" i="24"/>
  <c r="F62" i="24"/>
  <c r="F66" i="24"/>
  <c r="F70" i="24"/>
  <c r="F74" i="24"/>
  <c r="F78" i="24"/>
  <c r="F82" i="24"/>
  <c r="F86" i="24"/>
  <c r="F90" i="24"/>
  <c r="F94" i="24"/>
  <c r="F98" i="24"/>
  <c r="F102" i="24"/>
  <c r="F41" i="24"/>
  <c r="F53" i="24"/>
  <c r="F69" i="24"/>
  <c r="F81" i="24"/>
  <c r="F93" i="24"/>
  <c r="F7" i="24"/>
  <c r="F11" i="24"/>
  <c r="F15" i="24"/>
  <c r="F19" i="24"/>
  <c r="F23" i="24"/>
  <c r="F27" i="24"/>
  <c r="F31" i="24"/>
  <c r="F35" i="24"/>
  <c r="F39" i="24"/>
  <c r="F43" i="24"/>
  <c r="F47" i="24"/>
  <c r="F51" i="24"/>
  <c r="F55" i="24"/>
  <c r="F59" i="24"/>
  <c r="F63" i="24"/>
  <c r="F67" i="24"/>
  <c r="F71" i="24"/>
  <c r="F75" i="24"/>
  <c r="F79" i="24"/>
  <c r="F83" i="24"/>
  <c r="F87" i="24"/>
  <c r="F91" i="24"/>
  <c r="F95" i="24"/>
  <c r="F99" i="24"/>
  <c r="F103" i="24"/>
  <c r="F37" i="24"/>
  <c r="F61" i="24"/>
  <c r="F73" i="24"/>
  <c r="F89" i="24"/>
  <c r="F101" i="24"/>
  <c r="F8" i="24"/>
  <c r="F12" i="24"/>
  <c r="F16" i="24"/>
  <c r="F20" i="24"/>
  <c r="F24" i="24"/>
  <c r="F28" i="24"/>
  <c r="F32" i="24"/>
  <c r="F36" i="24"/>
  <c r="F40" i="24"/>
  <c r="F44" i="24"/>
  <c r="F48" i="24"/>
  <c r="F52" i="24"/>
  <c r="F56" i="24"/>
  <c r="F60" i="24"/>
  <c r="F64" i="24"/>
  <c r="F68" i="24"/>
  <c r="F72" i="24"/>
  <c r="F76" i="24"/>
  <c r="F80" i="24"/>
  <c r="F84" i="24"/>
  <c r="F88" i="24"/>
  <c r="F92" i="24"/>
  <c r="F96" i="24"/>
  <c r="F100" i="24"/>
  <c r="F104" i="24"/>
  <c r="F9" i="24"/>
  <c r="F13" i="24"/>
  <c r="F17" i="24"/>
  <c r="F21" i="24"/>
  <c r="F25" i="24"/>
  <c r="F29" i="24"/>
  <c r="F33" i="24"/>
  <c r="F45" i="24"/>
  <c r="F49" i="24"/>
  <c r="F57" i="24"/>
  <c r="F65" i="24"/>
  <c r="F77" i="24"/>
  <c r="F85" i="24"/>
  <c r="F97" i="24"/>
  <c r="F105" i="24"/>
  <c r="F52" i="23"/>
  <c r="J52" i="23" s="1"/>
  <c r="F102" i="23"/>
  <c r="J102" i="23" s="1"/>
  <c r="J79" i="23"/>
  <c r="J7" i="23"/>
  <c r="J106" i="23"/>
  <c r="I87" i="23"/>
  <c r="I8" i="23"/>
  <c r="I106" i="23"/>
  <c r="J31" i="23"/>
  <c r="J99" i="23"/>
  <c r="J56" i="23"/>
  <c r="J27" i="23"/>
  <c r="J96" i="23"/>
  <c r="J86" i="23"/>
  <c r="J70" i="23"/>
  <c r="J38" i="23"/>
  <c r="J33" i="23"/>
  <c r="J69" i="23"/>
  <c r="J89" i="23"/>
  <c r="J44" i="23"/>
  <c r="F12" i="23"/>
  <c r="J12" i="23" s="1"/>
  <c r="J39" i="23"/>
  <c r="I76" i="23"/>
  <c r="J76" i="23"/>
  <c r="F24" i="23"/>
  <c r="G24" i="23" s="1"/>
  <c r="H24" i="23" s="1"/>
  <c r="J98" i="23"/>
  <c r="I50" i="23"/>
  <c r="F34" i="23"/>
  <c r="J34" i="23" s="1"/>
  <c r="F13" i="23"/>
  <c r="J13" i="23" s="1"/>
  <c r="F85" i="23"/>
  <c r="J85" i="23" s="1"/>
  <c r="F87" i="23"/>
  <c r="J87" i="23" s="1"/>
  <c r="I55" i="23"/>
  <c r="F26" i="23"/>
  <c r="J26" i="23" s="1"/>
  <c r="F61" i="23"/>
  <c r="J61" i="23" s="1"/>
  <c r="I90" i="23"/>
  <c r="J59" i="23"/>
  <c r="J36" i="23"/>
  <c r="J43" i="23"/>
  <c r="J11" i="23"/>
  <c r="J75" i="23"/>
  <c r="J23" i="23"/>
  <c r="J48" i="23"/>
  <c r="J16" i="23"/>
  <c r="J78" i="23"/>
  <c r="J62" i="23"/>
  <c r="J41" i="23"/>
  <c r="J9" i="23"/>
  <c r="N91" i="23"/>
  <c r="O91" i="23" s="1"/>
  <c r="P91" i="23" s="1"/>
  <c r="N47" i="23"/>
  <c r="O47" i="23" s="1"/>
  <c r="P47" i="23" s="1"/>
  <c r="N100" i="23"/>
  <c r="O100" i="23" s="1"/>
  <c r="P100" i="23" s="1"/>
  <c r="N79" i="23"/>
  <c r="O79" i="23" s="1"/>
  <c r="P79" i="23" s="1"/>
  <c r="N57" i="23"/>
  <c r="O57" i="23" s="1"/>
  <c r="P57" i="23" s="1"/>
  <c r="N28" i="23"/>
  <c r="O28" i="23" s="1"/>
  <c r="P28" i="23" s="1"/>
  <c r="N104" i="23"/>
  <c r="O104" i="23" s="1"/>
  <c r="P104" i="23" s="1"/>
  <c r="N83" i="23"/>
  <c r="O83" i="23" s="1"/>
  <c r="P83" i="23" s="1"/>
  <c r="N61" i="23"/>
  <c r="O61" i="23" s="1"/>
  <c r="P61" i="23" s="1"/>
  <c r="N35" i="23"/>
  <c r="O35" i="23" s="1"/>
  <c r="P35" i="23" s="1"/>
  <c r="N8" i="23"/>
  <c r="O8" i="23" s="1"/>
  <c r="P8" i="23" s="1"/>
  <c r="N64" i="23"/>
  <c r="O64" i="23" s="1"/>
  <c r="P64" i="23" s="1"/>
  <c r="N7" i="23"/>
  <c r="O7" i="23" s="1"/>
  <c r="P7" i="23" s="1"/>
  <c r="N87" i="23"/>
  <c r="O87" i="23" s="1"/>
  <c r="P87" i="23" s="1"/>
  <c r="N65" i="23"/>
  <c r="O65" i="23" s="1"/>
  <c r="P65" i="23" s="1"/>
  <c r="N40" i="23"/>
  <c r="O40" i="23" s="1"/>
  <c r="P40" i="23" s="1"/>
  <c r="N106" i="23"/>
  <c r="O106" i="23" s="1"/>
  <c r="P106" i="23" s="1"/>
  <c r="N90" i="23"/>
  <c r="O90" i="23" s="1"/>
  <c r="P90" i="23" s="1"/>
  <c r="N74" i="23"/>
  <c r="O74" i="23" s="1"/>
  <c r="P74" i="23" s="1"/>
  <c r="N58" i="23"/>
  <c r="O58" i="23" s="1"/>
  <c r="P58" i="23" s="1"/>
  <c r="N42" i="23"/>
  <c r="O42" i="23" s="1"/>
  <c r="P42" i="23" s="1"/>
  <c r="N26" i="23"/>
  <c r="O26" i="23" s="1"/>
  <c r="P26" i="23" s="1"/>
  <c r="N10" i="23"/>
  <c r="O10" i="23" s="1"/>
  <c r="P10" i="23" s="1"/>
  <c r="N37" i="23"/>
  <c r="O37" i="23" s="1"/>
  <c r="P37" i="23" s="1"/>
  <c r="N21" i="23"/>
  <c r="O21" i="23" s="1"/>
  <c r="P21" i="23" s="1"/>
  <c r="I57" i="23"/>
  <c r="F91" i="23"/>
  <c r="J91" i="23" s="1"/>
  <c r="I21" i="23"/>
  <c r="F21" i="23"/>
  <c r="J21" i="23" s="1"/>
  <c r="I40" i="23"/>
  <c r="I104" i="23"/>
  <c r="I42" i="23"/>
  <c r="N80" i="23"/>
  <c r="O80" i="23" s="1"/>
  <c r="P80" i="23" s="1"/>
  <c r="N31" i="23"/>
  <c r="O31" i="23" s="1"/>
  <c r="P31" i="23" s="1"/>
  <c r="N95" i="23"/>
  <c r="O95" i="23" s="1"/>
  <c r="P95" i="23" s="1"/>
  <c r="N73" i="23"/>
  <c r="O73" i="23" s="1"/>
  <c r="P73" i="23" s="1"/>
  <c r="N52" i="23"/>
  <c r="O52" i="23" s="1"/>
  <c r="P52" i="23" s="1"/>
  <c r="N20" i="23"/>
  <c r="O20" i="23" s="1"/>
  <c r="P20" i="23" s="1"/>
  <c r="N99" i="23"/>
  <c r="O99" i="23" s="1"/>
  <c r="P99" i="23" s="1"/>
  <c r="N77" i="23"/>
  <c r="O77" i="23" s="1"/>
  <c r="P77" i="23" s="1"/>
  <c r="N56" i="23"/>
  <c r="O56" i="23" s="1"/>
  <c r="P56" i="23" s="1"/>
  <c r="N27" i="23"/>
  <c r="O27" i="23" s="1"/>
  <c r="P27" i="23" s="1"/>
  <c r="N96" i="23"/>
  <c r="O96" i="23" s="1"/>
  <c r="P96" i="23" s="1"/>
  <c r="N53" i="23"/>
  <c r="O53" i="23" s="1"/>
  <c r="P53" i="23" s="1"/>
  <c r="N103" i="23"/>
  <c r="O103" i="23" s="1"/>
  <c r="P103" i="23" s="1"/>
  <c r="N81" i="23"/>
  <c r="O81" i="23" s="1"/>
  <c r="P81" i="23" s="1"/>
  <c r="N60" i="23"/>
  <c r="O60" i="23" s="1"/>
  <c r="P60" i="23" s="1"/>
  <c r="N32" i="23"/>
  <c r="O32" i="23" s="1"/>
  <c r="P32" i="23" s="1"/>
  <c r="N102" i="23"/>
  <c r="O102" i="23" s="1"/>
  <c r="P102" i="23" s="1"/>
  <c r="N86" i="23"/>
  <c r="O86" i="23" s="1"/>
  <c r="P86" i="23" s="1"/>
  <c r="N70" i="23"/>
  <c r="O70" i="23" s="1"/>
  <c r="P70" i="23" s="1"/>
  <c r="N54" i="23"/>
  <c r="O54" i="23" s="1"/>
  <c r="P54" i="23" s="1"/>
  <c r="N38" i="23"/>
  <c r="O38" i="23" s="1"/>
  <c r="P38" i="23" s="1"/>
  <c r="N22" i="23"/>
  <c r="O22" i="23" s="1"/>
  <c r="P22" i="23" s="1"/>
  <c r="N49" i="23"/>
  <c r="O49" i="23" s="1"/>
  <c r="P49" i="23" s="1"/>
  <c r="N33" i="23"/>
  <c r="O33" i="23" s="1"/>
  <c r="P33" i="23" s="1"/>
  <c r="N17" i="23"/>
  <c r="O17" i="23" s="1"/>
  <c r="P17" i="23" s="1"/>
  <c r="N69" i="23"/>
  <c r="O69" i="23" s="1"/>
  <c r="P69" i="23" s="1"/>
  <c r="N15" i="23"/>
  <c r="O15" i="23" s="1"/>
  <c r="P15" i="23" s="1"/>
  <c r="N89" i="23"/>
  <c r="O89" i="23" s="1"/>
  <c r="P89" i="23" s="1"/>
  <c r="N68" i="23"/>
  <c r="O68" i="23" s="1"/>
  <c r="P68" i="23" s="1"/>
  <c r="N44" i="23"/>
  <c r="O44" i="23" s="1"/>
  <c r="P44" i="23" s="1"/>
  <c r="N12" i="23"/>
  <c r="O12" i="23" s="1"/>
  <c r="P12" i="23" s="1"/>
  <c r="N93" i="23"/>
  <c r="O93" i="23" s="1"/>
  <c r="P93" i="23" s="1"/>
  <c r="N72" i="23"/>
  <c r="O72" i="23" s="1"/>
  <c r="P72" i="23" s="1"/>
  <c r="N51" i="23"/>
  <c r="O51" i="23" s="1"/>
  <c r="P51" i="23" s="1"/>
  <c r="N19" i="23"/>
  <c r="O19" i="23" s="1"/>
  <c r="P19" i="23" s="1"/>
  <c r="N85" i="23"/>
  <c r="O85" i="23" s="1"/>
  <c r="P85" i="23" s="1"/>
  <c r="N39" i="23"/>
  <c r="O39" i="23" s="1"/>
  <c r="P39" i="23" s="1"/>
  <c r="N97" i="23"/>
  <c r="O97" i="23" s="1"/>
  <c r="P97" i="23" s="1"/>
  <c r="N76" i="23"/>
  <c r="O76" i="23" s="1"/>
  <c r="P76" i="23" s="1"/>
  <c r="N55" i="23"/>
  <c r="O55" i="23" s="1"/>
  <c r="P55" i="23" s="1"/>
  <c r="N24" i="23"/>
  <c r="O24" i="23" s="1"/>
  <c r="P24" i="23" s="1"/>
  <c r="N98" i="23"/>
  <c r="O98" i="23" s="1"/>
  <c r="P98" i="23" s="1"/>
  <c r="N82" i="23"/>
  <c r="O82" i="23" s="1"/>
  <c r="P82" i="23" s="1"/>
  <c r="N66" i="23"/>
  <c r="O66" i="23" s="1"/>
  <c r="P66" i="23" s="1"/>
  <c r="N50" i="23"/>
  <c r="O50" i="23" s="1"/>
  <c r="P50" i="23" s="1"/>
  <c r="N34" i="23"/>
  <c r="O34" i="23" s="1"/>
  <c r="P34" i="23" s="1"/>
  <c r="N18" i="23"/>
  <c r="O18" i="23" s="1"/>
  <c r="P18" i="23" s="1"/>
  <c r="N45" i="23"/>
  <c r="O45" i="23" s="1"/>
  <c r="P45" i="23" s="1"/>
  <c r="N29" i="23"/>
  <c r="O29" i="23" s="1"/>
  <c r="P29" i="23" s="1"/>
  <c r="N13" i="23"/>
  <c r="O13" i="23" s="1"/>
  <c r="P13" i="23" s="1"/>
  <c r="I51" i="23"/>
  <c r="I83" i="23"/>
  <c r="I91" i="23"/>
  <c r="I44" i="23"/>
  <c r="F90" i="23"/>
  <c r="J90" i="23" s="1"/>
  <c r="F83" i="23"/>
  <c r="G83" i="23" s="1"/>
  <c r="H83" i="23" s="1"/>
  <c r="F42" i="23"/>
  <c r="G42" i="23" s="1"/>
  <c r="H42" i="23" s="1"/>
  <c r="F35" i="23"/>
  <c r="J35" i="23" s="1"/>
  <c r="I69" i="23"/>
  <c r="F50" i="23"/>
  <c r="J50" i="23" s="1"/>
  <c r="I72" i="23"/>
  <c r="I45" i="23"/>
  <c r="F65" i="23"/>
  <c r="G65" i="23" s="1"/>
  <c r="H65" i="23" s="1"/>
  <c r="F82" i="23"/>
  <c r="J82" i="23" s="1"/>
  <c r="N101" i="23"/>
  <c r="O101" i="23" s="1"/>
  <c r="P101" i="23" s="1"/>
  <c r="N59" i="23"/>
  <c r="O59" i="23" s="1"/>
  <c r="P59" i="23" s="1"/>
  <c r="N105" i="23"/>
  <c r="O105" i="23" s="1"/>
  <c r="P105" i="23" s="1"/>
  <c r="N84" i="23"/>
  <c r="O84" i="23" s="1"/>
  <c r="P84" i="23" s="1"/>
  <c r="N63" i="23"/>
  <c r="O63" i="23" s="1"/>
  <c r="P63" i="23" s="1"/>
  <c r="N36" i="23"/>
  <c r="O36" i="23" s="1"/>
  <c r="P36" i="23" s="1"/>
  <c r="N6" i="23"/>
  <c r="O6" i="23" s="1"/>
  <c r="P6" i="23" s="1"/>
  <c r="N88" i="23"/>
  <c r="O88" i="23" s="1"/>
  <c r="P88" i="23" s="1"/>
  <c r="N67" i="23"/>
  <c r="O67" i="23" s="1"/>
  <c r="P67" i="23" s="1"/>
  <c r="N43" i="23"/>
  <c r="O43" i="23" s="1"/>
  <c r="P43" i="23" s="1"/>
  <c r="N11" i="23"/>
  <c r="O11" i="23" s="1"/>
  <c r="P11" i="23" s="1"/>
  <c r="N75" i="23"/>
  <c r="O75" i="23" s="1"/>
  <c r="P75" i="23" s="1"/>
  <c r="N23" i="23"/>
  <c r="O23" i="23" s="1"/>
  <c r="P23" i="23" s="1"/>
  <c r="N92" i="23"/>
  <c r="O92" i="23" s="1"/>
  <c r="P92" i="23" s="1"/>
  <c r="N71" i="23"/>
  <c r="O71" i="23" s="1"/>
  <c r="P71" i="23" s="1"/>
  <c r="N48" i="23"/>
  <c r="O48" i="23" s="1"/>
  <c r="P48" i="23" s="1"/>
  <c r="N16" i="23"/>
  <c r="O16" i="23" s="1"/>
  <c r="P16" i="23" s="1"/>
  <c r="N94" i="23"/>
  <c r="O94" i="23" s="1"/>
  <c r="P94" i="23" s="1"/>
  <c r="N78" i="23"/>
  <c r="O78" i="23" s="1"/>
  <c r="P78" i="23" s="1"/>
  <c r="N62" i="23"/>
  <c r="O62" i="23" s="1"/>
  <c r="P62" i="23" s="1"/>
  <c r="N46" i="23"/>
  <c r="O46" i="23" s="1"/>
  <c r="P46" i="23" s="1"/>
  <c r="N30" i="23"/>
  <c r="O30" i="23" s="1"/>
  <c r="P30" i="23" s="1"/>
  <c r="N14" i="23"/>
  <c r="O14" i="23" s="1"/>
  <c r="P14" i="23" s="1"/>
  <c r="N41" i="23"/>
  <c r="O41" i="23" s="1"/>
  <c r="P41" i="23" s="1"/>
  <c r="N25" i="23"/>
  <c r="O25" i="23" s="1"/>
  <c r="P25" i="23" s="1"/>
  <c r="N9" i="23"/>
  <c r="O9" i="23" s="1"/>
  <c r="P9" i="23" s="1"/>
  <c r="I19" i="23"/>
  <c r="I28" i="23"/>
  <c r="I89" i="23"/>
  <c r="F64" i="23"/>
  <c r="J64" i="23" s="1"/>
  <c r="F37" i="23"/>
  <c r="J37" i="23" s="1"/>
  <c r="F74" i="23"/>
  <c r="G74" i="23" s="1"/>
  <c r="H74" i="23" s="1"/>
  <c r="F15" i="23"/>
  <c r="J15" i="23" s="1"/>
  <c r="I47" i="23"/>
  <c r="I97" i="23"/>
  <c r="F68" i="23"/>
  <c r="J68" i="23" s="1"/>
  <c r="F45" i="23"/>
  <c r="J45" i="23" s="1"/>
  <c r="F19" i="23"/>
  <c r="J19" i="23" s="1"/>
  <c r="F47" i="23"/>
  <c r="J47" i="23" s="1"/>
  <c r="I68" i="23"/>
  <c r="F40" i="23"/>
  <c r="J40" i="23" s="1"/>
  <c r="F104" i="23"/>
  <c r="J104" i="23" s="1"/>
  <c r="F18" i="23"/>
  <c r="J18" i="23" s="1"/>
  <c r="F57" i="23"/>
  <c r="G57" i="23" s="1"/>
  <c r="H57" i="23" s="1"/>
  <c r="I7" i="23"/>
  <c r="F28" i="23"/>
  <c r="J28" i="23" s="1"/>
  <c r="F97" i="23"/>
  <c r="G97" i="23" s="1"/>
  <c r="H97" i="23" s="1"/>
  <c r="F8" i="23"/>
  <c r="J8" i="23" s="1"/>
  <c r="I58" i="23"/>
  <c r="I82" i="23"/>
  <c r="I74" i="23"/>
  <c r="I37" i="23"/>
  <c r="I35" i="23"/>
  <c r="I85" i="23"/>
  <c r="I29" i="23"/>
  <c r="F58" i="23"/>
  <c r="G58" i="23" s="1"/>
  <c r="H58" i="23" s="1"/>
  <c r="F51" i="23"/>
  <c r="J51" i="23" s="1"/>
  <c r="I15" i="23"/>
  <c r="I79" i="23"/>
  <c r="I93" i="23"/>
  <c r="I64" i="23"/>
  <c r="F100" i="23"/>
  <c r="G100" i="23" s="1"/>
  <c r="H100" i="23" s="1"/>
  <c r="F10" i="23"/>
  <c r="J10" i="23" s="1"/>
  <c r="F66" i="23"/>
  <c r="G66" i="23" s="1"/>
  <c r="H66" i="23" s="1"/>
  <c r="F55" i="23"/>
  <c r="J55" i="23" s="1"/>
  <c r="I100" i="23"/>
  <c r="F72" i="23"/>
  <c r="G72" i="23" s="1"/>
  <c r="H72" i="23" s="1"/>
  <c r="I39" i="23"/>
  <c r="I24" i="23"/>
  <c r="F29" i="23"/>
  <c r="J29" i="23" s="1"/>
  <c r="F93" i="23"/>
  <c r="G93" i="23" s="1"/>
  <c r="H93" i="23" s="1"/>
  <c r="F95" i="23"/>
  <c r="G95" i="23" s="1"/>
  <c r="H95" i="23" s="1"/>
  <c r="I26" i="23"/>
  <c r="I66" i="23"/>
  <c r="I18" i="23"/>
  <c r="I34" i="23"/>
  <c r="G96" i="23"/>
  <c r="H96" i="23" s="1"/>
  <c r="G41" i="23"/>
  <c r="H41" i="23" s="1"/>
  <c r="G36" i="23"/>
  <c r="H36" i="23" s="1"/>
  <c r="G86" i="23"/>
  <c r="H86" i="23" s="1"/>
  <c r="G23" i="23"/>
  <c r="H23" i="23" s="1"/>
  <c r="G62" i="23"/>
  <c r="H62" i="23" s="1"/>
  <c r="G11" i="23"/>
  <c r="H11" i="23" s="1"/>
  <c r="G48" i="23"/>
  <c r="H48" i="23" s="1"/>
  <c r="G9" i="23"/>
  <c r="H9" i="23" s="1"/>
  <c r="G69" i="23"/>
  <c r="H69" i="23" s="1"/>
  <c r="G75" i="23"/>
  <c r="H75" i="23" s="1"/>
  <c r="G89" i="23"/>
  <c r="H89" i="23" s="1"/>
  <c r="G39" i="23"/>
  <c r="H39" i="23" s="1"/>
  <c r="G99" i="23"/>
  <c r="H99" i="23" s="1"/>
  <c r="G76" i="23"/>
  <c r="H76" i="23" s="1"/>
  <c r="G98" i="23"/>
  <c r="H98" i="23" s="1"/>
  <c r="G27" i="23"/>
  <c r="H27" i="23" s="1"/>
  <c r="G79" i="23"/>
  <c r="H79" i="23" s="1"/>
  <c r="G78" i="23"/>
  <c r="H78" i="23" s="1"/>
  <c r="G70" i="23"/>
  <c r="H70" i="23" s="1"/>
  <c r="G59" i="23"/>
  <c r="H59" i="23" s="1"/>
  <c r="G33" i="23"/>
  <c r="H33" i="23" s="1"/>
  <c r="G43" i="23"/>
  <c r="H43" i="23" s="1"/>
  <c r="G16" i="23"/>
  <c r="H16" i="23" s="1"/>
  <c r="G106" i="23"/>
  <c r="H106" i="23" s="1"/>
  <c r="G31" i="23"/>
  <c r="H31" i="23" s="1"/>
  <c r="G38" i="23"/>
  <c r="H38" i="23" s="1"/>
  <c r="G56" i="23"/>
  <c r="H56" i="23" s="1"/>
  <c r="G44" i="23"/>
  <c r="H44" i="23" s="1"/>
  <c r="G7" i="23"/>
  <c r="H7" i="23" s="1"/>
  <c r="B19" i="19"/>
  <c r="D19" i="19" s="1"/>
  <c r="I17" i="8"/>
  <c r="J17" i="8" s="1"/>
  <c r="D150" i="2" s="1"/>
  <c r="F238" i="2" s="1"/>
  <c r="G149" i="2"/>
  <c r="F149" i="2"/>
  <c r="E37" i="1" s="1"/>
  <c r="H237" i="2" s="1"/>
  <c r="C42" i="16" s="1"/>
  <c r="I18" i="8"/>
  <c r="J18" i="8" s="1"/>
  <c r="G241" i="2" s="1"/>
  <c r="A244" i="2"/>
  <c r="B244" i="2"/>
  <c r="B225" i="2"/>
  <c r="D32" i="16"/>
  <c r="R53" i="2"/>
  <c r="C34" i="16"/>
  <c r="B135" i="2"/>
  <c r="K49" i="2"/>
  <c r="K50" i="2"/>
  <c r="D225" i="2"/>
  <c r="C157" i="8"/>
  <c r="C156" i="8" s="1"/>
  <c r="C155" i="8" s="1"/>
  <c r="C154" i="8" s="1"/>
  <c r="C153" i="8" s="1"/>
  <c r="C152" i="8" s="1"/>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224" i="2"/>
  <c r="C225" i="2"/>
  <c r="B226" i="2"/>
  <c r="A227" i="2"/>
  <c r="B230" i="2"/>
  <c r="I11" i="19"/>
  <c r="I15" i="19"/>
  <c r="I19" i="19"/>
  <c r="I23" i="19"/>
  <c r="I27" i="19"/>
  <c r="I31" i="19"/>
  <c r="I35" i="19"/>
  <c r="I39" i="19"/>
  <c r="I43" i="19"/>
  <c r="I47" i="19"/>
  <c r="I51" i="19"/>
  <c r="I55" i="19"/>
  <c r="I59" i="19"/>
  <c r="I63" i="19"/>
  <c r="I67" i="19"/>
  <c r="I71" i="19"/>
  <c r="I75" i="19"/>
  <c r="I79" i="19"/>
  <c r="I83" i="19"/>
  <c r="I87" i="19"/>
  <c r="I91" i="19"/>
  <c r="I95" i="19"/>
  <c r="I99" i="19"/>
  <c r="I103" i="19"/>
  <c r="I13" i="19"/>
  <c r="I17" i="19"/>
  <c r="I21" i="19"/>
  <c r="I25" i="19"/>
  <c r="I29" i="19"/>
  <c r="I33" i="19"/>
  <c r="I37" i="19"/>
  <c r="I41" i="19"/>
  <c r="I45" i="19"/>
  <c r="I49" i="19"/>
  <c r="I53" i="19"/>
  <c r="I57" i="19"/>
  <c r="I61" i="19"/>
  <c r="I65" i="19"/>
  <c r="I69" i="19"/>
  <c r="I73" i="19"/>
  <c r="I77" i="19"/>
  <c r="I81" i="19"/>
  <c r="I85" i="19"/>
  <c r="I89" i="19"/>
  <c r="I93" i="19"/>
  <c r="I97" i="19"/>
  <c r="I101" i="19"/>
  <c r="I105" i="19"/>
  <c r="I10" i="19"/>
  <c r="I18" i="19"/>
  <c r="I26" i="19"/>
  <c r="I34" i="19"/>
  <c r="I42" i="19"/>
  <c r="I50" i="19"/>
  <c r="I58" i="19"/>
  <c r="I66" i="19"/>
  <c r="I74" i="19"/>
  <c r="I82" i="19"/>
  <c r="I90" i="19"/>
  <c r="I98" i="19"/>
  <c r="I106" i="19"/>
  <c r="I14" i="19"/>
  <c r="I22" i="19"/>
  <c r="I30" i="19"/>
  <c r="I38" i="19"/>
  <c r="I46" i="19"/>
  <c r="I54" i="19"/>
  <c r="I62" i="19"/>
  <c r="I70" i="19"/>
  <c r="I78" i="19"/>
  <c r="I86" i="19"/>
  <c r="I94" i="19"/>
  <c r="I102" i="19"/>
  <c r="I20" i="19"/>
  <c r="I36" i="19"/>
  <c r="I52" i="19"/>
  <c r="I68" i="19"/>
  <c r="I84" i="19"/>
  <c r="I100" i="19"/>
  <c r="I24" i="19"/>
  <c r="I40" i="19"/>
  <c r="I56" i="19"/>
  <c r="I72" i="19"/>
  <c r="I88" i="19"/>
  <c r="I104" i="19"/>
  <c r="I12" i="19"/>
  <c r="I28" i="19"/>
  <c r="I44" i="19"/>
  <c r="I60" i="19"/>
  <c r="I76" i="19"/>
  <c r="I92" i="19"/>
  <c r="I16" i="19"/>
  <c r="I32" i="19"/>
  <c r="I48" i="19"/>
  <c r="I64" i="19"/>
  <c r="I80" i="19"/>
  <c r="I96" i="19"/>
  <c r="D18" i="19"/>
  <c r="Q243" i="24" l="1"/>
  <c r="CC85" i="24"/>
  <c r="CC49" i="24"/>
  <c r="CC25" i="24"/>
  <c r="CC9" i="24"/>
  <c r="CC92" i="24"/>
  <c r="CC76" i="24"/>
  <c r="CC60" i="24"/>
  <c r="CC44" i="24"/>
  <c r="CC28" i="24"/>
  <c r="CC12" i="24"/>
  <c r="CC73" i="24"/>
  <c r="CC99" i="24"/>
  <c r="CC83" i="24"/>
  <c r="CC51" i="24"/>
  <c r="CC35" i="24"/>
  <c r="CC19" i="24"/>
  <c r="CC93" i="24"/>
  <c r="CC41" i="24"/>
  <c r="CC90" i="24"/>
  <c r="CC58" i="24"/>
  <c r="CC42" i="24"/>
  <c r="CC26" i="24"/>
  <c r="CC10" i="24"/>
  <c r="CC45" i="24"/>
  <c r="CC104" i="24"/>
  <c r="CC72" i="24"/>
  <c r="CC40" i="24"/>
  <c r="CC8" i="24"/>
  <c r="CC95" i="24"/>
  <c r="CC63" i="24"/>
  <c r="CC31" i="24"/>
  <c r="CC81" i="24"/>
  <c r="CC86" i="24"/>
  <c r="CC54" i="24"/>
  <c r="CC22" i="24"/>
  <c r="CC105" i="24"/>
  <c r="CC65" i="24"/>
  <c r="CC33" i="24"/>
  <c r="CC17" i="24"/>
  <c r="CC100" i="24"/>
  <c r="CC84" i="24"/>
  <c r="CC68" i="24"/>
  <c r="CC52" i="24"/>
  <c r="CC36" i="24"/>
  <c r="CC20" i="24"/>
  <c r="CC101" i="24"/>
  <c r="CC37" i="24"/>
  <c r="CC91" i="24"/>
  <c r="CC75" i="24"/>
  <c r="CC59" i="24"/>
  <c r="CC43" i="24"/>
  <c r="CC27" i="24"/>
  <c r="CC11" i="24"/>
  <c r="CC69" i="24"/>
  <c r="CC98" i="24"/>
  <c r="CC82" i="24"/>
  <c r="CC66" i="24"/>
  <c r="CC34" i="24"/>
  <c r="CC18" i="24"/>
  <c r="CC77" i="24"/>
  <c r="CC21" i="24"/>
  <c r="CC88" i="24"/>
  <c r="CC56" i="24"/>
  <c r="CC24" i="24"/>
  <c r="CC61" i="24"/>
  <c r="CC79" i="24"/>
  <c r="CC47" i="24"/>
  <c r="CC15" i="24"/>
  <c r="CC102" i="24"/>
  <c r="CC70" i="24"/>
  <c r="CC38" i="24"/>
  <c r="CC6" i="24"/>
  <c r="CC97" i="24"/>
  <c r="CC57" i="24"/>
  <c r="CC29" i="24"/>
  <c r="CC13" i="24"/>
  <c r="CC96" i="24"/>
  <c r="CC80" i="24"/>
  <c r="CC64" i="24"/>
  <c r="CC48" i="24"/>
  <c r="CC32" i="24"/>
  <c r="CC16" i="24"/>
  <c r="CC89" i="24"/>
  <c r="CC103" i="24"/>
  <c r="CC87" i="24"/>
  <c r="CC71" i="24"/>
  <c r="CC55" i="24"/>
  <c r="CC39" i="24"/>
  <c r="CC23" i="24"/>
  <c r="CC7" i="24"/>
  <c r="CC53" i="24"/>
  <c r="CC94" i="24"/>
  <c r="CC78" i="24"/>
  <c r="CC62" i="24"/>
  <c r="CC46" i="24"/>
  <c r="CC30" i="24"/>
  <c r="CC14" i="24"/>
  <c r="CB5" i="24"/>
  <c r="CC5" i="24"/>
  <c r="S45" i="24"/>
  <c r="S21" i="24"/>
  <c r="T21" i="24" s="1"/>
  <c r="O21" i="24" s="1"/>
  <c r="S88" i="24"/>
  <c r="S56" i="24"/>
  <c r="T56" i="24" s="1"/>
  <c r="O56" i="24" s="1"/>
  <c r="S24" i="24"/>
  <c r="S61" i="24"/>
  <c r="S63" i="24"/>
  <c r="T63" i="24" s="1"/>
  <c r="O63" i="24" s="1"/>
  <c r="S31" i="24"/>
  <c r="T31" i="24" s="1"/>
  <c r="O31" i="24" s="1"/>
  <c r="S81" i="24"/>
  <c r="S86" i="24"/>
  <c r="T86" i="24" s="1"/>
  <c r="O86" i="24" s="1"/>
  <c r="S54" i="24"/>
  <c r="T54" i="24" s="1"/>
  <c r="O54" i="24" s="1"/>
  <c r="S22" i="24"/>
  <c r="BM113" i="24"/>
  <c r="BP113" i="24" s="1"/>
  <c r="BM163" i="24"/>
  <c r="BP163" i="24" s="1"/>
  <c r="BM174" i="24"/>
  <c r="BP174" i="24" s="1"/>
  <c r="BM183" i="24"/>
  <c r="BP183" i="24" s="1"/>
  <c r="BM197" i="24"/>
  <c r="BP197" i="24" s="1"/>
  <c r="BM137" i="24"/>
  <c r="BP137" i="24" s="1"/>
  <c r="BM135" i="24"/>
  <c r="BP135" i="24" s="1"/>
  <c r="BM194" i="24"/>
  <c r="BP194" i="24" s="1"/>
  <c r="BM189" i="24"/>
  <c r="BP189" i="24" s="1"/>
  <c r="BM122" i="24"/>
  <c r="BP122" i="24" s="1"/>
  <c r="BM188" i="24"/>
  <c r="BP188" i="24" s="1"/>
  <c r="BM172" i="24"/>
  <c r="BP172" i="24" s="1"/>
  <c r="BZ129" i="25"/>
  <c r="BK129" i="25"/>
  <c r="BO129" i="25" s="1"/>
  <c r="BK145" i="25"/>
  <c r="BO145" i="25" s="1"/>
  <c r="BZ145" i="25"/>
  <c r="BK161" i="25"/>
  <c r="BO161" i="25" s="1"/>
  <c r="BZ161" i="25"/>
  <c r="BK177" i="25"/>
  <c r="BO177" i="25" s="1"/>
  <c r="BZ177" i="25"/>
  <c r="BZ193" i="25"/>
  <c r="BK193" i="25"/>
  <c r="BO193" i="25" s="1"/>
  <c r="BK150" i="25"/>
  <c r="BO150" i="25" s="1"/>
  <c r="BZ150" i="25"/>
  <c r="BK182" i="25"/>
  <c r="BO182" i="25" s="1"/>
  <c r="BZ182" i="25"/>
  <c r="BK131" i="25"/>
  <c r="BO131" i="25" s="1"/>
  <c r="BZ131" i="25"/>
  <c r="BK163" i="25"/>
  <c r="BO163" i="25" s="1"/>
  <c r="BZ163" i="25"/>
  <c r="BZ195" i="25"/>
  <c r="BK195" i="25"/>
  <c r="BO195" i="25" s="1"/>
  <c r="S65" i="24"/>
  <c r="S17" i="24"/>
  <c r="S84" i="24"/>
  <c r="S52" i="24"/>
  <c r="S20" i="24"/>
  <c r="S37" i="24"/>
  <c r="S75" i="24"/>
  <c r="S43" i="24"/>
  <c r="S11" i="24"/>
  <c r="S69" i="24"/>
  <c r="T69" i="24" s="1"/>
  <c r="O69" i="24" s="1"/>
  <c r="S98" i="24"/>
  <c r="S66" i="24"/>
  <c r="S34" i="24"/>
  <c r="BM195" i="24"/>
  <c r="BP195" i="24" s="1"/>
  <c r="BM147" i="24"/>
  <c r="BP147" i="24" s="1"/>
  <c r="BM154" i="24"/>
  <c r="BP154" i="24" s="1"/>
  <c r="BM167" i="24"/>
  <c r="BP167" i="24" s="1"/>
  <c r="BM185" i="24"/>
  <c r="BP185" i="24" s="1"/>
  <c r="BM133" i="24"/>
  <c r="BP133" i="24" s="1"/>
  <c r="BM112" i="24"/>
  <c r="BP112" i="24" s="1"/>
  <c r="BM181" i="24"/>
  <c r="BP181" i="24" s="1"/>
  <c r="BM157" i="24"/>
  <c r="BP157" i="24" s="1"/>
  <c r="BM200" i="24"/>
  <c r="BP200" i="24" s="1"/>
  <c r="BM168" i="24"/>
  <c r="BP168" i="24" s="1"/>
  <c r="BK113" i="25"/>
  <c r="BO113" i="25" s="1"/>
  <c r="BZ113" i="25"/>
  <c r="BZ122" i="25"/>
  <c r="BK122" i="25"/>
  <c r="BO122" i="25" s="1"/>
  <c r="BK123" i="25"/>
  <c r="BO123" i="25" s="1"/>
  <c r="BZ123" i="25"/>
  <c r="BK140" i="25"/>
  <c r="BO140" i="25" s="1"/>
  <c r="BZ140" i="25"/>
  <c r="BK156" i="25"/>
  <c r="BO156" i="25" s="1"/>
  <c r="BZ156" i="25"/>
  <c r="BK172" i="25"/>
  <c r="BO172" i="25" s="1"/>
  <c r="BZ172" i="25"/>
  <c r="BZ188" i="25"/>
  <c r="BK188" i="25"/>
  <c r="BO188" i="25" s="1"/>
  <c r="BK138" i="25"/>
  <c r="BO138" i="25" s="1"/>
  <c r="BZ138" i="25"/>
  <c r="BK170" i="25"/>
  <c r="BO170" i="25" s="1"/>
  <c r="BZ170" i="25"/>
  <c r="BK135" i="25"/>
  <c r="BO135" i="25" s="1"/>
  <c r="BZ135" i="25"/>
  <c r="BZ167" i="25"/>
  <c r="BK167" i="25"/>
  <c r="BO167" i="25" s="1"/>
  <c r="BZ199" i="25"/>
  <c r="BK199" i="25"/>
  <c r="BO199" i="25" s="1"/>
  <c r="S97" i="24"/>
  <c r="T97" i="24" s="1"/>
  <c r="O97" i="24" s="1"/>
  <c r="S57" i="24"/>
  <c r="S29" i="24"/>
  <c r="T29" i="24" s="1"/>
  <c r="O29" i="24" s="1"/>
  <c r="S13" i="24"/>
  <c r="S96" i="24"/>
  <c r="T96" i="24" s="1"/>
  <c r="O96" i="24" s="1"/>
  <c r="S80" i="24"/>
  <c r="S64" i="24"/>
  <c r="T64" i="24" s="1"/>
  <c r="O64" i="24" s="1"/>
  <c r="S48" i="24"/>
  <c r="S32" i="24"/>
  <c r="T32" i="24" s="1"/>
  <c r="O32" i="24" s="1"/>
  <c r="S16" i="24"/>
  <c r="S89" i="24"/>
  <c r="T89" i="24" s="1"/>
  <c r="O89" i="24" s="1"/>
  <c r="S103" i="24"/>
  <c r="S87" i="24"/>
  <c r="T87" i="24" s="1"/>
  <c r="O87" i="24" s="1"/>
  <c r="S71" i="24"/>
  <c r="S55" i="24"/>
  <c r="T55" i="24" s="1"/>
  <c r="O55" i="24" s="1"/>
  <c r="S39" i="24"/>
  <c r="S23" i="24"/>
  <c r="T23" i="24" s="1"/>
  <c r="O23" i="24" s="1"/>
  <c r="S7" i="24"/>
  <c r="S53" i="24"/>
  <c r="T53" i="24" s="1"/>
  <c r="O53" i="24" s="1"/>
  <c r="S94" i="24"/>
  <c r="S78" i="24"/>
  <c r="T78" i="24" s="1"/>
  <c r="O78" i="24" s="1"/>
  <c r="S62" i="24"/>
  <c r="S46" i="24"/>
  <c r="T46" i="24" s="1"/>
  <c r="O46" i="24" s="1"/>
  <c r="S30" i="24"/>
  <c r="S14" i="24"/>
  <c r="T14" i="24" s="1"/>
  <c r="O14" i="24" s="1"/>
  <c r="BM199" i="24"/>
  <c r="BP199" i="24" s="1"/>
  <c r="BM121" i="24"/>
  <c r="BP121" i="24" s="1"/>
  <c r="BM191" i="24"/>
  <c r="BP191" i="24" s="1"/>
  <c r="BM131" i="24"/>
  <c r="BP131" i="24" s="1"/>
  <c r="BM111" i="24"/>
  <c r="BP111" i="24" s="1"/>
  <c r="BM182" i="24"/>
  <c r="BP182" i="24" s="1"/>
  <c r="BM166" i="24"/>
  <c r="BP166" i="24" s="1"/>
  <c r="BM150" i="24"/>
  <c r="BP150" i="24" s="1"/>
  <c r="BM134" i="24"/>
  <c r="BP134" i="24" s="1"/>
  <c r="BM155" i="24"/>
  <c r="BP155" i="24" s="1"/>
  <c r="BM123" i="24"/>
  <c r="BP123" i="24" s="1"/>
  <c r="BM173" i="24"/>
  <c r="BP173" i="24" s="1"/>
  <c r="BM145" i="24"/>
  <c r="BP145" i="24" s="1"/>
  <c r="BM151" i="24"/>
  <c r="BP151" i="24" s="1"/>
  <c r="BM210" i="24"/>
  <c r="BP210" i="24" s="1"/>
  <c r="BM127" i="24"/>
  <c r="BP127" i="24" s="1"/>
  <c r="BM201" i="24"/>
  <c r="BP201" i="24" s="1"/>
  <c r="BM177" i="24"/>
  <c r="BP177" i="24" s="1"/>
  <c r="BM130" i="24"/>
  <c r="BP130" i="24" s="1"/>
  <c r="BM114" i="24"/>
  <c r="BP114" i="24" s="1"/>
  <c r="BM196" i="24"/>
  <c r="BP196" i="24" s="1"/>
  <c r="BM180" i="24"/>
  <c r="BP180" i="24" s="1"/>
  <c r="BM164" i="24"/>
  <c r="BP164" i="24" s="1"/>
  <c r="BM148" i="24"/>
  <c r="BP148" i="24" s="1"/>
  <c r="BM132" i="24"/>
  <c r="BP132" i="24" s="1"/>
  <c r="BK116" i="25"/>
  <c r="BO116" i="25" s="1"/>
  <c r="BZ116" i="25"/>
  <c r="BZ117" i="25"/>
  <c r="BK117" i="25"/>
  <c r="BO117" i="25" s="1"/>
  <c r="BK126" i="25"/>
  <c r="BO126" i="25" s="1"/>
  <c r="BZ126" i="25"/>
  <c r="BK111" i="25"/>
  <c r="BO111" i="25" s="1"/>
  <c r="BZ111" i="25"/>
  <c r="BZ127" i="25"/>
  <c r="BK127" i="25"/>
  <c r="BO127" i="25" s="1"/>
  <c r="BK133" i="25"/>
  <c r="BO133" i="25" s="1"/>
  <c r="BZ133" i="25"/>
  <c r="BZ141" i="25"/>
  <c r="BK141" i="25"/>
  <c r="BO141" i="25" s="1"/>
  <c r="BZ149" i="25"/>
  <c r="BK149" i="25"/>
  <c r="BO149" i="25" s="1"/>
  <c r="BZ157" i="25"/>
  <c r="BK157" i="25"/>
  <c r="BO157" i="25" s="1"/>
  <c r="BZ165" i="25"/>
  <c r="BK165" i="25"/>
  <c r="BO165" i="25" s="1"/>
  <c r="BZ173" i="25"/>
  <c r="BK173" i="25"/>
  <c r="BO173" i="25" s="1"/>
  <c r="BZ181" i="25"/>
  <c r="BK181" i="25"/>
  <c r="BO181" i="25" s="1"/>
  <c r="BZ189" i="25"/>
  <c r="BK189" i="25"/>
  <c r="BO189" i="25" s="1"/>
  <c r="BZ197" i="25"/>
  <c r="BK197" i="25"/>
  <c r="BO197" i="25" s="1"/>
  <c r="BK142" i="25"/>
  <c r="BO142" i="25" s="1"/>
  <c r="BZ142" i="25"/>
  <c r="BK158" i="25"/>
  <c r="BO158" i="25" s="1"/>
  <c r="BZ158" i="25"/>
  <c r="BK174" i="25"/>
  <c r="BO174" i="25" s="1"/>
  <c r="BZ174" i="25"/>
  <c r="BK190" i="25"/>
  <c r="BO190" i="25" s="1"/>
  <c r="BZ190" i="25"/>
  <c r="BZ139" i="25"/>
  <c r="BK139" i="25"/>
  <c r="BO139" i="25" s="1"/>
  <c r="BK155" i="25"/>
  <c r="BO155" i="25" s="1"/>
  <c r="BZ155" i="25"/>
  <c r="BZ171" i="25"/>
  <c r="BK171" i="25"/>
  <c r="BO171" i="25" s="1"/>
  <c r="BK187" i="25"/>
  <c r="BO187" i="25" s="1"/>
  <c r="BZ187" i="25"/>
  <c r="BZ201" i="25"/>
  <c r="BK201" i="25"/>
  <c r="BO201" i="25" s="1"/>
  <c r="BZ209" i="25"/>
  <c r="BK209" i="25"/>
  <c r="BO209" i="25" s="1"/>
  <c r="BZ203" i="25"/>
  <c r="BK203" i="25"/>
  <c r="BO203" i="25" s="1"/>
  <c r="BZ208" i="25"/>
  <c r="BK208" i="25"/>
  <c r="BO208" i="25" s="1"/>
  <c r="S77" i="24"/>
  <c r="S104" i="24"/>
  <c r="T104" i="24" s="1"/>
  <c r="O104" i="24" s="1"/>
  <c r="S72" i="24"/>
  <c r="T72" i="24" s="1"/>
  <c r="O72" i="24" s="1"/>
  <c r="S40" i="24"/>
  <c r="T40" i="24" s="1"/>
  <c r="O40" i="24" s="1"/>
  <c r="S8" i="24"/>
  <c r="S95" i="24"/>
  <c r="T95" i="24" s="1"/>
  <c r="O95" i="24" s="1"/>
  <c r="S79" i="24"/>
  <c r="T79" i="24" s="1"/>
  <c r="O79" i="24" s="1"/>
  <c r="S47" i="24"/>
  <c r="S15" i="24"/>
  <c r="S102" i="24"/>
  <c r="S70" i="24"/>
  <c r="T70" i="24" s="1"/>
  <c r="O70" i="24" s="1"/>
  <c r="S38" i="24"/>
  <c r="S6" i="24"/>
  <c r="BM187" i="24"/>
  <c r="BP187" i="24" s="1"/>
  <c r="BM125" i="24"/>
  <c r="BP125" i="24" s="1"/>
  <c r="BM202" i="24"/>
  <c r="BP202" i="24" s="1"/>
  <c r="BM158" i="24"/>
  <c r="BP158" i="24" s="1"/>
  <c r="BM142" i="24"/>
  <c r="BP142" i="24" s="1"/>
  <c r="BM198" i="24"/>
  <c r="BP198" i="24" s="1"/>
  <c r="BM153" i="24"/>
  <c r="BP153" i="24" s="1"/>
  <c r="BM171" i="24"/>
  <c r="BP171" i="24" s="1"/>
  <c r="BM128" i="24"/>
  <c r="BP128" i="24" s="1"/>
  <c r="BM115" i="24"/>
  <c r="BP115" i="24" s="1"/>
  <c r="BM161" i="24"/>
  <c r="BP161" i="24" s="1"/>
  <c r="BM204" i="24"/>
  <c r="BP204" i="24" s="1"/>
  <c r="BM156" i="24"/>
  <c r="BP156" i="24" s="1"/>
  <c r="BM140" i="24"/>
  <c r="BP140" i="24" s="1"/>
  <c r="BK121" i="25"/>
  <c r="BO121" i="25" s="1"/>
  <c r="BZ121" i="25"/>
  <c r="BK124" i="25"/>
  <c r="BO124" i="25" s="1"/>
  <c r="BZ124" i="25"/>
  <c r="BK118" i="25"/>
  <c r="BO118" i="25" s="1"/>
  <c r="BZ118" i="25"/>
  <c r="BZ119" i="25"/>
  <c r="BK119" i="25"/>
  <c r="BO119" i="25" s="1"/>
  <c r="BZ137" i="25"/>
  <c r="BK137" i="25"/>
  <c r="BO137" i="25" s="1"/>
  <c r="BK153" i="25"/>
  <c r="BO153" i="25" s="1"/>
  <c r="BZ153" i="25"/>
  <c r="BK169" i="25"/>
  <c r="BO169" i="25" s="1"/>
  <c r="BZ169" i="25"/>
  <c r="BK185" i="25"/>
  <c r="BO185" i="25" s="1"/>
  <c r="BZ185" i="25"/>
  <c r="BZ134" i="25"/>
  <c r="BK134" i="25"/>
  <c r="BO134" i="25" s="1"/>
  <c r="BK166" i="25"/>
  <c r="BO166" i="25" s="1"/>
  <c r="BZ166" i="25"/>
  <c r="BZ198" i="25"/>
  <c r="BK198" i="25"/>
  <c r="BO198" i="25" s="1"/>
  <c r="BK147" i="25"/>
  <c r="BO147" i="25" s="1"/>
  <c r="BZ147" i="25"/>
  <c r="BK179" i="25"/>
  <c r="BO179" i="25" s="1"/>
  <c r="BZ179" i="25"/>
  <c r="BZ205" i="25"/>
  <c r="BK205" i="25"/>
  <c r="BO205" i="25" s="1"/>
  <c r="BZ200" i="25"/>
  <c r="BK200" i="25"/>
  <c r="BO200" i="25" s="1"/>
  <c r="S105" i="24"/>
  <c r="T105" i="24" s="1"/>
  <c r="O105" i="24" s="1"/>
  <c r="S33" i="24"/>
  <c r="T33" i="24" s="1"/>
  <c r="O33" i="24" s="1"/>
  <c r="S100" i="24"/>
  <c r="T100" i="24" s="1"/>
  <c r="O100" i="24" s="1"/>
  <c r="S68" i="24"/>
  <c r="T68" i="24" s="1"/>
  <c r="O68" i="24" s="1"/>
  <c r="S36" i="24"/>
  <c r="T36" i="24" s="1"/>
  <c r="O36" i="24" s="1"/>
  <c r="S101" i="24"/>
  <c r="T101" i="24" s="1"/>
  <c r="O101" i="24" s="1"/>
  <c r="S91" i="24"/>
  <c r="T91" i="24" s="1"/>
  <c r="O91" i="24" s="1"/>
  <c r="S59" i="24"/>
  <c r="T59" i="24" s="1"/>
  <c r="O59" i="24" s="1"/>
  <c r="S27" i="24"/>
  <c r="T27" i="24" s="1"/>
  <c r="O27" i="24" s="1"/>
  <c r="S82" i="24"/>
  <c r="T82" i="24" s="1"/>
  <c r="O82" i="24" s="1"/>
  <c r="S50" i="24"/>
  <c r="T50" i="24" s="1"/>
  <c r="O50" i="24" s="1"/>
  <c r="S18" i="24"/>
  <c r="T18" i="24" s="1"/>
  <c r="O18" i="24" s="1"/>
  <c r="BM117" i="24"/>
  <c r="BP117" i="24" s="1"/>
  <c r="BM207" i="24"/>
  <c r="BP207" i="24" s="1"/>
  <c r="BM186" i="24"/>
  <c r="BP186" i="24" s="1"/>
  <c r="BM170" i="24"/>
  <c r="BP170" i="24" s="1"/>
  <c r="BM138" i="24"/>
  <c r="BP138" i="24" s="1"/>
  <c r="BM190" i="24"/>
  <c r="BP190" i="24" s="1"/>
  <c r="BM149" i="24"/>
  <c r="BP149" i="24" s="1"/>
  <c r="BM159" i="24"/>
  <c r="BP159" i="24" s="1"/>
  <c r="BM124" i="24"/>
  <c r="BP124" i="24" s="1"/>
  <c r="BM205" i="24"/>
  <c r="BP205" i="24" s="1"/>
  <c r="BM118" i="24"/>
  <c r="BP118" i="24" s="1"/>
  <c r="BM152" i="24"/>
  <c r="BP152" i="24" s="1"/>
  <c r="BM136" i="24"/>
  <c r="BP136" i="24" s="1"/>
  <c r="BZ112" i="25"/>
  <c r="BK112" i="25"/>
  <c r="BO112" i="25" s="1"/>
  <c r="BZ132" i="25"/>
  <c r="BK132" i="25"/>
  <c r="BO132" i="25" s="1"/>
  <c r="BK148" i="25"/>
  <c r="BO148" i="25" s="1"/>
  <c r="BZ148" i="25"/>
  <c r="BK164" i="25"/>
  <c r="BO164" i="25" s="1"/>
  <c r="BZ164" i="25"/>
  <c r="BK180" i="25"/>
  <c r="BO180" i="25" s="1"/>
  <c r="BZ180" i="25"/>
  <c r="BZ196" i="25"/>
  <c r="BK196" i="25"/>
  <c r="BO196" i="25" s="1"/>
  <c r="BZ154" i="25"/>
  <c r="BK154" i="25"/>
  <c r="BO154" i="25" s="1"/>
  <c r="BZ186" i="25"/>
  <c r="BK186" i="25"/>
  <c r="BO186" i="25" s="1"/>
  <c r="BK151" i="25"/>
  <c r="BO151" i="25" s="1"/>
  <c r="BZ151" i="25"/>
  <c r="BK183" i="25"/>
  <c r="BO183" i="25" s="1"/>
  <c r="BZ183" i="25"/>
  <c r="BZ206" i="25"/>
  <c r="BK206" i="25"/>
  <c r="BO206" i="25" s="1"/>
  <c r="BZ204" i="25"/>
  <c r="BK204" i="25"/>
  <c r="BO204" i="25" s="1"/>
  <c r="S85" i="24"/>
  <c r="T85" i="24" s="1"/>
  <c r="O85" i="24" s="1"/>
  <c r="S49" i="24"/>
  <c r="S25" i="24"/>
  <c r="T25" i="24" s="1"/>
  <c r="O25" i="24" s="1"/>
  <c r="S9" i="24"/>
  <c r="S92" i="24"/>
  <c r="T92" i="24" s="1"/>
  <c r="O92" i="24" s="1"/>
  <c r="S76" i="24"/>
  <c r="S60" i="24"/>
  <c r="T60" i="24" s="1"/>
  <c r="O60" i="24" s="1"/>
  <c r="S44" i="24"/>
  <c r="S28" i="24"/>
  <c r="T28" i="24" s="1"/>
  <c r="O28" i="24" s="1"/>
  <c r="S12" i="24"/>
  <c r="S73" i="24"/>
  <c r="T73" i="24" s="1"/>
  <c r="O73" i="24" s="1"/>
  <c r="S99" i="24"/>
  <c r="S83" i="24"/>
  <c r="T83" i="24" s="1"/>
  <c r="O83" i="24" s="1"/>
  <c r="S67" i="24"/>
  <c r="S51" i="24"/>
  <c r="T51" i="24" s="1"/>
  <c r="O51" i="24" s="1"/>
  <c r="S35" i="24"/>
  <c r="S19" i="24"/>
  <c r="T19" i="24" s="1"/>
  <c r="O19" i="24" s="1"/>
  <c r="S93" i="24"/>
  <c r="S41" i="24"/>
  <c r="T41" i="24" s="1"/>
  <c r="O41" i="24" s="1"/>
  <c r="S90" i="24"/>
  <c r="S74" i="24"/>
  <c r="T74" i="24" s="1"/>
  <c r="O74" i="24" s="1"/>
  <c r="S58" i="24"/>
  <c r="S42" i="24"/>
  <c r="T42" i="24" s="1"/>
  <c r="O42" i="24" s="1"/>
  <c r="S26" i="24"/>
  <c r="S10" i="24"/>
  <c r="T10" i="24" s="1"/>
  <c r="O10" i="24" s="1"/>
  <c r="BM203" i="24"/>
  <c r="BP203" i="24" s="1"/>
  <c r="BM129" i="24"/>
  <c r="BP129" i="24" s="1"/>
  <c r="BM179" i="24"/>
  <c r="BP179" i="24" s="1"/>
  <c r="BM120" i="24"/>
  <c r="BP120" i="24" s="1"/>
  <c r="BM178" i="24"/>
  <c r="BP178" i="24" s="1"/>
  <c r="BM162" i="24"/>
  <c r="BP162" i="24" s="1"/>
  <c r="BM146" i="24"/>
  <c r="BP146" i="24" s="1"/>
  <c r="BM139" i="24"/>
  <c r="BP139" i="24" s="1"/>
  <c r="BM116" i="24"/>
  <c r="BP116" i="24" s="1"/>
  <c r="BM209" i="24"/>
  <c r="BP209" i="24" s="1"/>
  <c r="BM165" i="24"/>
  <c r="BP165" i="24" s="1"/>
  <c r="BM175" i="24"/>
  <c r="BP175" i="24" s="1"/>
  <c r="BM143" i="24"/>
  <c r="BP143" i="24" s="1"/>
  <c r="BM206" i="24"/>
  <c r="BP206" i="24" s="1"/>
  <c r="BM119" i="24"/>
  <c r="BP119" i="24" s="1"/>
  <c r="BM193" i="24"/>
  <c r="BP193" i="24" s="1"/>
  <c r="BM169" i="24"/>
  <c r="BP169" i="24" s="1"/>
  <c r="BM126" i="24"/>
  <c r="BP126" i="24" s="1"/>
  <c r="BM208" i="24"/>
  <c r="BP208" i="24" s="1"/>
  <c r="BM192" i="24"/>
  <c r="BP192" i="24" s="1"/>
  <c r="BM176" i="24"/>
  <c r="BP176" i="24" s="1"/>
  <c r="BM160" i="24"/>
  <c r="BP160" i="24" s="1"/>
  <c r="BM144" i="24"/>
  <c r="BP144" i="24" s="1"/>
  <c r="BK120" i="25"/>
  <c r="BO120" i="25" s="1"/>
  <c r="BZ120" i="25"/>
  <c r="BZ125" i="25"/>
  <c r="BK125" i="25"/>
  <c r="BO125" i="25" s="1"/>
  <c r="BZ114" i="25"/>
  <c r="BK114" i="25"/>
  <c r="BO114" i="25" s="1"/>
  <c r="BZ115" i="25"/>
  <c r="BK115" i="25"/>
  <c r="BO115" i="25" s="1"/>
  <c r="BK128" i="25"/>
  <c r="BO128" i="25" s="1"/>
  <c r="BZ128" i="25"/>
  <c r="BK136" i="25"/>
  <c r="BO136" i="25" s="1"/>
  <c r="BZ136" i="25"/>
  <c r="BK144" i="25"/>
  <c r="BO144" i="25" s="1"/>
  <c r="BZ144" i="25"/>
  <c r="BZ152" i="25"/>
  <c r="BK152" i="25"/>
  <c r="BO152" i="25" s="1"/>
  <c r="BZ160" i="25"/>
  <c r="BK160" i="25"/>
  <c r="BO160" i="25" s="1"/>
  <c r="BK168" i="25"/>
  <c r="BO168" i="25" s="1"/>
  <c r="BZ168" i="25"/>
  <c r="BZ176" i="25"/>
  <c r="BK176" i="25"/>
  <c r="BO176" i="25" s="1"/>
  <c r="BZ184" i="25"/>
  <c r="BK184" i="25"/>
  <c r="BO184" i="25" s="1"/>
  <c r="BZ192" i="25"/>
  <c r="BK192" i="25"/>
  <c r="BO192" i="25" s="1"/>
  <c r="BK130" i="25"/>
  <c r="BO130" i="25" s="1"/>
  <c r="BZ130" i="25"/>
  <c r="BZ146" i="25"/>
  <c r="BK146" i="25"/>
  <c r="BO146" i="25" s="1"/>
  <c r="BZ162" i="25"/>
  <c r="BK162" i="25"/>
  <c r="BO162" i="25" s="1"/>
  <c r="BZ178" i="25"/>
  <c r="BK178" i="25"/>
  <c r="BO178" i="25" s="1"/>
  <c r="BZ194" i="25"/>
  <c r="BK194" i="25"/>
  <c r="BO194" i="25" s="1"/>
  <c r="BZ143" i="25"/>
  <c r="BK143" i="25"/>
  <c r="BO143" i="25" s="1"/>
  <c r="BK159" i="25"/>
  <c r="BO159" i="25" s="1"/>
  <c r="BZ159" i="25"/>
  <c r="BZ175" i="25"/>
  <c r="BK175" i="25"/>
  <c r="BO175" i="25" s="1"/>
  <c r="BK191" i="25"/>
  <c r="BO191" i="25" s="1"/>
  <c r="BZ191" i="25"/>
  <c r="BZ202" i="25"/>
  <c r="BK202" i="25"/>
  <c r="BO202" i="25" s="1"/>
  <c r="BZ210" i="25"/>
  <c r="BK210" i="25"/>
  <c r="BO210" i="25" s="1"/>
  <c r="BK207" i="25"/>
  <c r="BO207" i="25" s="1"/>
  <c r="BZ207" i="25"/>
  <c r="U110" i="24"/>
  <c r="V110" i="24" s="1"/>
  <c r="N110" i="24"/>
  <c r="N210" i="24"/>
  <c r="P210" i="24" s="1"/>
  <c r="N212" i="24"/>
  <c r="S141" i="24"/>
  <c r="T141" i="24" s="1"/>
  <c r="BM141" i="24"/>
  <c r="BP141" i="24" s="1"/>
  <c r="S184" i="24"/>
  <c r="T184" i="24" s="1"/>
  <c r="BM184" i="24"/>
  <c r="BP184" i="24" s="1"/>
  <c r="Q226" i="24"/>
  <c r="Q290" i="24"/>
  <c r="Q233" i="24"/>
  <c r="Q282" i="24"/>
  <c r="Q277" i="24"/>
  <c r="Q292" i="24"/>
  <c r="Q254" i="24"/>
  <c r="Q284" i="24"/>
  <c r="Q230" i="24"/>
  <c r="Q257" i="24"/>
  <c r="Q248" i="24"/>
  <c r="Q222" i="24"/>
  <c r="Q312" i="24"/>
  <c r="O216" i="24"/>
  <c r="J216" i="24"/>
  <c r="J110" i="24"/>
  <c r="O110" i="24"/>
  <c r="BW110" i="24" s="1"/>
  <c r="S121" i="24"/>
  <c r="T121" i="24" s="1"/>
  <c r="J121" i="24" s="1"/>
  <c r="S262" i="24"/>
  <c r="T262" i="24" s="1"/>
  <c r="O262" i="24" s="1"/>
  <c r="Q150" i="24"/>
  <c r="S150" i="24"/>
  <c r="T150" i="24" s="1"/>
  <c r="S305" i="24"/>
  <c r="T305" i="24" s="1"/>
  <c r="O305" i="24" s="1"/>
  <c r="S257" i="24"/>
  <c r="T257" i="24" s="1"/>
  <c r="O257" i="24" s="1"/>
  <c r="Q155" i="24"/>
  <c r="S155" i="24"/>
  <c r="T155" i="24" s="1"/>
  <c r="S230" i="24"/>
  <c r="T230" i="24" s="1"/>
  <c r="J230" i="24" s="1"/>
  <c r="Q145" i="24"/>
  <c r="S145" i="24"/>
  <c r="T145" i="24" s="1"/>
  <c r="S284" i="24"/>
  <c r="T284" i="24" s="1"/>
  <c r="O284" i="24" s="1"/>
  <c r="S236" i="24"/>
  <c r="T236" i="24" s="1"/>
  <c r="J236" i="24" s="1"/>
  <c r="S314" i="24"/>
  <c r="T314" i="24" s="1"/>
  <c r="J314" i="24" s="1"/>
  <c r="S210" i="24"/>
  <c r="T210" i="24" s="1"/>
  <c r="S130" i="24"/>
  <c r="T130" i="24" s="1"/>
  <c r="O130" i="24" s="1"/>
  <c r="S180" i="24"/>
  <c r="T180" i="24" s="1"/>
  <c r="J180" i="24" s="1"/>
  <c r="AI180" i="24" s="1"/>
  <c r="S132" i="24"/>
  <c r="T132" i="24" s="1"/>
  <c r="O132" i="24" s="1"/>
  <c r="S271" i="24"/>
  <c r="T271" i="24" s="1"/>
  <c r="J271" i="24" s="1"/>
  <c r="S223" i="24"/>
  <c r="T223" i="24" s="1"/>
  <c r="J223" i="24" s="1"/>
  <c r="Q187" i="24"/>
  <c r="S187" i="24"/>
  <c r="T187" i="24" s="1"/>
  <c r="S113" i="24"/>
  <c r="T113" i="24" s="1"/>
  <c r="O113" i="24" s="1"/>
  <c r="Q125" i="24"/>
  <c r="S125" i="24"/>
  <c r="T125" i="24" s="1"/>
  <c r="Q163" i="24"/>
  <c r="S163" i="24"/>
  <c r="T163" i="24" s="1"/>
  <c r="S294" i="24"/>
  <c r="T294" i="24" s="1"/>
  <c r="J294" i="24" s="1"/>
  <c r="S242" i="24"/>
  <c r="T242" i="24" s="1"/>
  <c r="O242" i="24" s="1"/>
  <c r="S202" i="24"/>
  <c r="T202" i="24" s="1"/>
  <c r="J202" i="24" s="1"/>
  <c r="AI202" i="24" s="1"/>
  <c r="S174" i="24"/>
  <c r="T174" i="24" s="1"/>
  <c r="O174" i="24" s="1"/>
  <c r="S158" i="24"/>
  <c r="T158" i="24" s="1"/>
  <c r="O158" i="24" s="1"/>
  <c r="Q142" i="24"/>
  <c r="S142" i="24"/>
  <c r="T142" i="24" s="1"/>
  <c r="S313" i="24"/>
  <c r="T313" i="24" s="1"/>
  <c r="O313" i="24" s="1"/>
  <c r="S297" i="24"/>
  <c r="T297" i="24" s="1"/>
  <c r="J297" i="24" s="1"/>
  <c r="S281" i="24"/>
  <c r="T281" i="24" s="1"/>
  <c r="O281" i="24" s="1"/>
  <c r="S265" i="24"/>
  <c r="T265" i="24" s="1"/>
  <c r="O265" i="24" s="1"/>
  <c r="S249" i="24"/>
  <c r="T249" i="24" s="1"/>
  <c r="O249" i="24" s="1"/>
  <c r="S233" i="24"/>
  <c r="T233" i="24" s="1"/>
  <c r="J233" i="24" s="1"/>
  <c r="Q183" i="24"/>
  <c r="S183" i="24"/>
  <c r="T183" i="24" s="1"/>
  <c r="S306" i="24"/>
  <c r="T306" i="24" s="1"/>
  <c r="O306" i="24" s="1"/>
  <c r="S254" i="24"/>
  <c r="T254" i="24" s="1"/>
  <c r="J254" i="24" s="1"/>
  <c r="S198" i="24"/>
  <c r="T198" i="24" s="1"/>
  <c r="O198" i="24" s="1"/>
  <c r="S197" i="24"/>
  <c r="T197" i="24" s="1"/>
  <c r="J197" i="24" s="1"/>
  <c r="S153" i="24"/>
  <c r="T153" i="24" s="1"/>
  <c r="O153" i="24" s="1"/>
  <c r="Q137" i="24"/>
  <c r="S137" i="24"/>
  <c r="T137" i="24" s="1"/>
  <c r="S308" i="24"/>
  <c r="T308" i="24" s="1"/>
  <c r="O308" i="24" s="1"/>
  <c r="S292" i="24"/>
  <c r="T292" i="24" s="1"/>
  <c r="J292" i="24" s="1"/>
  <c r="S276" i="24"/>
  <c r="T276" i="24" s="1"/>
  <c r="O276" i="24" s="1"/>
  <c r="S260" i="24"/>
  <c r="T260" i="24" s="1"/>
  <c r="O260" i="24" s="1"/>
  <c r="S244" i="24"/>
  <c r="T244" i="24" s="1"/>
  <c r="O244" i="24" s="1"/>
  <c r="S228" i="24"/>
  <c r="T228" i="24" s="1"/>
  <c r="J228" i="24" s="1"/>
  <c r="S171" i="24"/>
  <c r="T171" i="24" s="1"/>
  <c r="O171" i="24" s="1"/>
  <c r="S135" i="24"/>
  <c r="T135" i="24" s="1"/>
  <c r="J135" i="24" s="1"/>
  <c r="AI135" i="24" s="1"/>
  <c r="S298" i="24"/>
  <c r="T298" i="24" s="1"/>
  <c r="O298" i="24" s="1"/>
  <c r="S258" i="24"/>
  <c r="T258" i="24" s="1"/>
  <c r="J258" i="24" s="1"/>
  <c r="Q128" i="24"/>
  <c r="S128" i="24"/>
  <c r="T128" i="24" s="1"/>
  <c r="Q194" i="24"/>
  <c r="S194" i="24"/>
  <c r="T194" i="24" s="1"/>
  <c r="Q115" i="24"/>
  <c r="S115" i="24"/>
  <c r="T115" i="24" s="1"/>
  <c r="S189" i="24"/>
  <c r="T189" i="24" s="1"/>
  <c r="O189" i="24" s="1"/>
  <c r="Q161" i="24"/>
  <c r="S161" i="24"/>
  <c r="T161" i="24" s="1"/>
  <c r="Q122" i="24"/>
  <c r="S122" i="24"/>
  <c r="T122" i="24" s="1"/>
  <c r="S204" i="24"/>
  <c r="T204" i="24" s="1"/>
  <c r="O204" i="24" s="1"/>
  <c r="Q188" i="24"/>
  <c r="S188" i="24"/>
  <c r="T188" i="24" s="1"/>
  <c r="Q172" i="24"/>
  <c r="S172" i="24"/>
  <c r="T172" i="24" s="1"/>
  <c r="S156" i="24"/>
  <c r="T156" i="24" s="1"/>
  <c r="O156" i="24" s="1"/>
  <c r="S140" i="24"/>
  <c r="T140" i="24" s="1"/>
  <c r="J140" i="24" s="1"/>
  <c r="AI140" i="24" s="1"/>
  <c r="S311" i="24"/>
  <c r="T311" i="24" s="1"/>
  <c r="O311" i="24" s="1"/>
  <c r="S295" i="24"/>
  <c r="T295" i="24" s="1"/>
  <c r="O295" i="24" s="1"/>
  <c r="S279" i="24"/>
  <c r="T279" i="24" s="1"/>
  <c r="J279" i="24" s="1"/>
  <c r="S263" i="24"/>
  <c r="T263" i="24" s="1"/>
  <c r="O263" i="24" s="1"/>
  <c r="S247" i="24"/>
  <c r="T247" i="24" s="1"/>
  <c r="J247" i="24" s="1"/>
  <c r="S231" i="24"/>
  <c r="T231" i="24" s="1"/>
  <c r="O231" i="24" s="1"/>
  <c r="Q199" i="24"/>
  <c r="S199" i="24"/>
  <c r="T199" i="24" s="1"/>
  <c r="Q131" i="24"/>
  <c r="S131" i="24"/>
  <c r="T131" i="24" s="1"/>
  <c r="Q182" i="24"/>
  <c r="S182" i="24"/>
  <c r="T182" i="24" s="1"/>
  <c r="S289" i="24"/>
  <c r="T289" i="24" s="1"/>
  <c r="O289" i="24" s="1"/>
  <c r="S225" i="24"/>
  <c r="T225" i="24" s="1"/>
  <c r="O225" i="24" s="1"/>
  <c r="Q123" i="24"/>
  <c r="S123" i="24"/>
  <c r="T123" i="24" s="1"/>
  <c r="S316" i="24"/>
  <c r="T316" i="24" s="1"/>
  <c r="J316" i="24" s="1"/>
  <c r="S252" i="24"/>
  <c r="T252" i="24" s="1"/>
  <c r="O252" i="24" s="1"/>
  <c r="S151" i="24"/>
  <c r="T151" i="24" s="1"/>
  <c r="O151" i="24" s="1"/>
  <c r="S234" i="24"/>
  <c r="T234" i="24" s="1"/>
  <c r="J234" i="24" s="1"/>
  <c r="Q201" i="24"/>
  <c r="S201" i="24"/>
  <c r="T201" i="24" s="1"/>
  <c r="S114" i="24"/>
  <c r="T114" i="24" s="1"/>
  <c r="O114" i="24" s="1"/>
  <c r="S164" i="24"/>
  <c r="T164" i="24" s="1"/>
  <c r="J164" i="24" s="1"/>
  <c r="AI164" i="24" s="1"/>
  <c r="S303" i="24"/>
  <c r="T303" i="24" s="1"/>
  <c r="J303" i="24" s="1"/>
  <c r="S255" i="24"/>
  <c r="T255" i="24" s="1"/>
  <c r="O255" i="24" s="1"/>
  <c r="S117" i="24"/>
  <c r="T117" i="24" s="1"/>
  <c r="O117" i="24" s="1"/>
  <c r="S195" i="24"/>
  <c r="T195" i="24" s="1"/>
  <c r="O195" i="24" s="1"/>
  <c r="Q207" i="24"/>
  <c r="S207" i="24"/>
  <c r="T207" i="24" s="1"/>
  <c r="S147" i="24"/>
  <c r="T147" i="24" s="1"/>
  <c r="O147" i="24" s="1"/>
  <c r="S282" i="24"/>
  <c r="T282" i="24" s="1"/>
  <c r="O282" i="24" s="1"/>
  <c r="S226" i="24"/>
  <c r="T226" i="24" s="1"/>
  <c r="O226" i="24" s="1"/>
  <c r="Q186" i="24"/>
  <c r="S186" i="24"/>
  <c r="T186" i="24" s="1"/>
  <c r="Q170" i="24"/>
  <c r="S170" i="24"/>
  <c r="T170" i="24" s="1"/>
  <c r="Q154" i="24"/>
  <c r="S154" i="24"/>
  <c r="T154" i="24" s="1"/>
  <c r="S138" i="24"/>
  <c r="T138" i="24" s="1"/>
  <c r="J138" i="24" s="1"/>
  <c r="AI138" i="24" s="1"/>
  <c r="S309" i="24"/>
  <c r="T309" i="24" s="1"/>
  <c r="J309" i="24" s="1"/>
  <c r="S293" i="24"/>
  <c r="T293" i="24" s="1"/>
  <c r="J293" i="24" s="1"/>
  <c r="S277" i="24"/>
  <c r="T277" i="24" s="1"/>
  <c r="O277" i="24" s="1"/>
  <c r="S261" i="24"/>
  <c r="T261" i="24" s="1"/>
  <c r="O261" i="24" s="1"/>
  <c r="S245" i="24"/>
  <c r="T245" i="24" s="1"/>
  <c r="J245" i="24" s="1"/>
  <c r="S229" i="24"/>
  <c r="T229" i="24" s="1"/>
  <c r="J229" i="24" s="1"/>
  <c r="Q167" i="24"/>
  <c r="S167" i="24"/>
  <c r="T167" i="24" s="1"/>
  <c r="S290" i="24"/>
  <c r="T290" i="24" s="1"/>
  <c r="O290" i="24" s="1"/>
  <c r="S238" i="24"/>
  <c r="T238" i="24" s="1"/>
  <c r="O238" i="24" s="1"/>
  <c r="S190" i="24"/>
  <c r="T190" i="24" s="1"/>
  <c r="O190" i="24" s="1"/>
  <c r="S185" i="24"/>
  <c r="T185" i="24" s="1"/>
  <c r="O185" i="24" s="1"/>
  <c r="Q149" i="24"/>
  <c r="S149" i="24"/>
  <c r="T149" i="24" s="1"/>
  <c r="S133" i="24"/>
  <c r="T133" i="24" s="1"/>
  <c r="O133" i="24" s="1"/>
  <c r="S304" i="24"/>
  <c r="T304" i="24" s="1"/>
  <c r="J304" i="24" s="1"/>
  <c r="S288" i="24"/>
  <c r="T288" i="24" s="1"/>
  <c r="J288" i="24" s="1"/>
  <c r="S272" i="24"/>
  <c r="T272" i="24" s="1"/>
  <c r="J272" i="24" s="1"/>
  <c r="S256" i="24"/>
  <c r="T256" i="24" s="1"/>
  <c r="J256" i="24" s="1"/>
  <c r="S240" i="24"/>
  <c r="T240" i="24" s="1"/>
  <c r="J240" i="24" s="1"/>
  <c r="S224" i="24"/>
  <c r="T224" i="24" s="1"/>
  <c r="J224" i="24" s="1"/>
  <c r="Q159" i="24"/>
  <c r="S159" i="24"/>
  <c r="T159" i="24" s="1"/>
  <c r="S217" i="24"/>
  <c r="T217" i="24" s="1"/>
  <c r="O217" i="24" s="1"/>
  <c r="S286" i="24"/>
  <c r="T286" i="24" s="1"/>
  <c r="J286" i="24" s="1"/>
  <c r="S246" i="24"/>
  <c r="T246" i="24" s="1"/>
  <c r="O246" i="24" s="1"/>
  <c r="S124" i="24"/>
  <c r="T124" i="24" s="1"/>
  <c r="J124" i="24" s="1"/>
  <c r="AI124" i="24" s="1"/>
  <c r="Q112" i="24"/>
  <c r="S112" i="24"/>
  <c r="T112" i="24" s="1"/>
  <c r="Q205" i="24"/>
  <c r="S205" i="24"/>
  <c r="T205" i="24" s="1"/>
  <c r="Q181" i="24"/>
  <c r="S181" i="24"/>
  <c r="T181" i="24" s="1"/>
  <c r="Q157" i="24"/>
  <c r="S157" i="24"/>
  <c r="T157" i="24" s="1"/>
  <c r="S118" i="24"/>
  <c r="T118" i="24" s="1"/>
  <c r="J118" i="24" s="1"/>
  <c r="AI118" i="24" s="1"/>
  <c r="S200" i="24"/>
  <c r="T200" i="24" s="1"/>
  <c r="J200" i="24" s="1"/>
  <c r="AI200" i="24" s="1"/>
  <c r="S168" i="24"/>
  <c r="T168" i="24" s="1"/>
  <c r="O168" i="24" s="1"/>
  <c r="Q152" i="24"/>
  <c r="S152" i="24"/>
  <c r="T152" i="24" s="1"/>
  <c r="Q136" i="24"/>
  <c r="S136" i="24"/>
  <c r="T136" i="24" s="1"/>
  <c r="S307" i="24"/>
  <c r="T307" i="24" s="1"/>
  <c r="J307" i="24" s="1"/>
  <c r="S291" i="24"/>
  <c r="T291" i="24" s="1"/>
  <c r="O291" i="24" s="1"/>
  <c r="S275" i="24"/>
  <c r="T275" i="24" s="1"/>
  <c r="J275" i="24" s="1"/>
  <c r="S259" i="24"/>
  <c r="T259" i="24" s="1"/>
  <c r="J259" i="24" s="1"/>
  <c r="S243" i="24"/>
  <c r="T243" i="24" s="1"/>
  <c r="J243" i="24" s="1"/>
  <c r="S227" i="24"/>
  <c r="T227" i="24" s="1"/>
  <c r="J227" i="24" s="1"/>
  <c r="S191" i="24"/>
  <c r="T191" i="24" s="1"/>
  <c r="O191" i="24" s="1"/>
  <c r="S111" i="24"/>
  <c r="T111" i="24" s="1"/>
  <c r="J111" i="24" s="1"/>
  <c r="S166" i="24"/>
  <c r="T166" i="24" s="1"/>
  <c r="O166" i="24" s="1"/>
  <c r="Q134" i="24"/>
  <c r="S134" i="24"/>
  <c r="T134" i="24" s="1"/>
  <c r="S273" i="24"/>
  <c r="T273" i="24" s="1"/>
  <c r="J273" i="24" s="1"/>
  <c r="S241" i="24"/>
  <c r="T241" i="24" s="1"/>
  <c r="J241" i="24" s="1"/>
  <c r="S278" i="24"/>
  <c r="T278" i="24" s="1"/>
  <c r="O278" i="24" s="1"/>
  <c r="S173" i="24"/>
  <c r="T173" i="24" s="1"/>
  <c r="J173" i="24" s="1"/>
  <c r="AI173" i="24" s="1"/>
  <c r="S300" i="24"/>
  <c r="T300" i="24" s="1"/>
  <c r="J300" i="24" s="1"/>
  <c r="S268" i="24"/>
  <c r="T268" i="24" s="1"/>
  <c r="J268" i="24" s="1"/>
  <c r="S220" i="24"/>
  <c r="T220" i="24" s="1"/>
  <c r="J220" i="24" s="1"/>
  <c r="S274" i="24"/>
  <c r="T274" i="24" s="1"/>
  <c r="J274" i="24" s="1"/>
  <c r="S127" i="24"/>
  <c r="T127" i="24" s="1"/>
  <c r="J127" i="24" s="1"/>
  <c r="Q177" i="24"/>
  <c r="S177" i="24"/>
  <c r="T177" i="24" s="1"/>
  <c r="Q196" i="24"/>
  <c r="S196" i="24"/>
  <c r="T196" i="24" s="1"/>
  <c r="Q148" i="24"/>
  <c r="S148" i="24"/>
  <c r="T148" i="24" s="1"/>
  <c r="S287" i="24"/>
  <c r="T287" i="24" s="1"/>
  <c r="J287" i="24" s="1"/>
  <c r="S239" i="24"/>
  <c r="T239" i="24" s="1"/>
  <c r="J239" i="24" s="1"/>
  <c r="Q203" i="24"/>
  <c r="S203" i="24"/>
  <c r="T203" i="24" s="1"/>
  <c r="S129" i="24"/>
  <c r="T129" i="24" s="1"/>
  <c r="J129" i="24" s="1"/>
  <c r="AI129" i="24" s="1"/>
  <c r="Q179" i="24"/>
  <c r="S179" i="24"/>
  <c r="T179" i="24" s="1"/>
  <c r="S310" i="24"/>
  <c r="T310" i="24" s="1"/>
  <c r="J310" i="24" s="1"/>
  <c r="S250" i="24"/>
  <c r="T250" i="24" s="1"/>
  <c r="J250" i="24" s="1"/>
  <c r="S120" i="24"/>
  <c r="T120" i="24" s="1"/>
  <c r="O120" i="24" s="1"/>
  <c r="S178" i="24"/>
  <c r="T178" i="24" s="1"/>
  <c r="J178" i="24" s="1"/>
  <c r="AI178" i="24" s="1"/>
  <c r="Q162" i="24"/>
  <c r="S162" i="24"/>
  <c r="T162" i="24" s="1"/>
  <c r="S146" i="24"/>
  <c r="T146" i="24" s="1"/>
  <c r="O146" i="24" s="1"/>
  <c r="S218" i="24"/>
  <c r="T218" i="24" s="1"/>
  <c r="J218" i="24" s="1"/>
  <c r="S301" i="24"/>
  <c r="T301" i="24" s="1"/>
  <c r="J301" i="24" s="1"/>
  <c r="S285" i="24"/>
  <c r="T285" i="24" s="1"/>
  <c r="J285" i="24" s="1"/>
  <c r="S269" i="24"/>
  <c r="T269" i="24" s="1"/>
  <c r="O269" i="24" s="1"/>
  <c r="S253" i="24"/>
  <c r="T253" i="24" s="1"/>
  <c r="O253" i="24" s="1"/>
  <c r="S237" i="24"/>
  <c r="T237" i="24" s="1"/>
  <c r="O237" i="24" s="1"/>
  <c r="S221" i="24"/>
  <c r="T221" i="24" s="1"/>
  <c r="J221" i="24" s="1"/>
  <c r="S139" i="24"/>
  <c r="T139" i="24" s="1"/>
  <c r="O139" i="24" s="1"/>
  <c r="S266" i="24"/>
  <c r="T266" i="24" s="1"/>
  <c r="J266" i="24" s="1"/>
  <c r="Q116" i="24"/>
  <c r="S116" i="24"/>
  <c r="T116" i="24" s="1"/>
  <c r="S209" i="24"/>
  <c r="T209" i="24" s="1"/>
  <c r="O209" i="24" s="1"/>
  <c r="Q165" i="24"/>
  <c r="S165" i="24"/>
  <c r="T165" i="24" s="1"/>
  <c r="S312" i="24"/>
  <c r="T312" i="24" s="1"/>
  <c r="O312" i="24" s="1"/>
  <c r="S296" i="24"/>
  <c r="T296" i="24" s="1"/>
  <c r="O296" i="24" s="1"/>
  <c r="S280" i="24"/>
  <c r="T280" i="24" s="1"/>
  <c r="O280" i="24" s="1"/>
  <c r="S264" i="24"/>
  <c r="T264" i="24" s="1"/>
  <c r="J264" i="24" s="1"/>
  <c r="S248" i="24"/>
  <c r="T248" i="24" s="1"/>
  <c r="O248" i="24" s="1"/>
  <c r="S232" i="24"/>
  <c r="T232" i="24" s="1"/>
  <c r="O232" i="24" s="1"/>
  <c r="S175" i="24"/>
  <c r="T175" i="24" s="1"/>
  <c r="J175" i="24" s="1"/>
  <c r="AI175" i="24" s="1"/>
  <c r="S143" i="24"/>
  <c r="T143" i="24" s="1"/>
  <c r="O143" i="24" s="1"/>
  <c r="S302" i="24"/>
  <c r="T302" i="24" s="1"/>
  <c r="J302" i="24" s="1"/>
  <c r="S270" i="24"/>
  <c r="T270" i="24" s="1"/>
  <c r="O270" i="24" s="1"/>
  <c r="S222" i="24"/>
  <c r="T222" i="24" s="1"/>
  <c r="J222" i="24" s="1"/>
  <c r="Q206" i="24"/>
  <c r="S206" i="24"/>
  <c r="T206" i="24" s="1"/>
  <c r="Q119" i="24"/>
  <c r="S119" i="24"/>
  <c r="T119" i="24" s="1"/>
  <c r="S193" i="24"/>
  <c r="T193" i="24" s="1"/>
  <c r="O193" i="24" s="1"/>
  <c r="Q169" i="24"/>
  <c r="S169" i="24"/>
  <c r="T169" i="24" s="1"/>
  <c r="S126" i="24"/>
  <c r="T126" i="24" s="1"/>
  <c r="J126" i="24" s="1"/>
  <c r="AI126" i="24" s="1"/>
  <c r="Q208" i="24"/>
  <c r="S208" i="24"/>
  <c r="T208" i="24" s="1"/>
  <c r="Q192" i="24"/>
  <c r="S192" i="24"/>
  <c r="T192" i="24" s="1"/>
  <c r="S176" i="24"/>
  <c r="T176" i="24" s="1"/>
  <c r="O176" i="24" s="1"/>
  <c r="S160" i="24"/>
  <c r="T160" i="24" s="1"/>
  <c r="J160" i="24" s="1"/>
  <c r="AI160" i="24" s="1"/>
  <c r="S144" i="24"/>
  <c r="T144" i="24" s="1"/>
  <c r="O144" i="24" s="1"/>
  <c r="S315" i="24"/>
  <c r="T315" i="24" s="1"/>
  <c r="J315" i="24" s="1"/>
  <c r="S299" i="24"/>
  <c r="T299" i="24" s="1"/>
  <c r="O299" i="24" s="1"/>
  <c r="S283" i="24"/>
  <c r="T283" i="24" s="1"/>
  <c r="O283" i="24" s="1"/>
  <c r="S267" i="24"/>
  <c r="T267" i="24" s="1"/>
  <c r="O267" i="24" s="1"/>
  <c r="S251" i="24"/>
  <c r="T251" i="24" s="1"/>
  <c r="J251" i="24" s="1"/>
  <c r="S235" i="24"/>
  <c r="T235" i="24" s="1"/>
  <c r="J235" i="24" s="1"/>
  <c r="S219" i="24"/>
  <c r="T219" i="24" s="1"/>
  <c r="J219" i="24" s="1"/>
  <c r="CB45" i="24"/>
  <c r="CB21" i="24"/>
  <c r="CB88" i="24"/>
  <c r="CB72" i="24"/>
  <c r="CB56" i="24"/>
  <c r="CB40" i="24"/>
  <c r="CB24" i="24"/>
  <c r="CB8" i="24"/>
  <c r="CB61" i="24"/>
  <c r="CB63" i="24"/>
  <c r="CB47" i="24"/>
  <c r="CB31" i="24"/>
  <c r="CB15" i="24"/>
  <c r="CB102" i="24"/>
  <c r="CB86" i="24"/>
  <c r="CB38" i="24"/>
  <c r="CB22" i="24"/>
  <c r="CB85" i="24"/>
  <c r="CB25" i="24"/>
  <c r="CB9" i="24"/>
  <c r="CB76" i="24"/>
  <c r="CB44" i="24"/>
  <c r="CB28" i="24"/>
  <c r="CB12" i="24"/>
  <c r="CB99" i="24"/>
  <c r="CB83" i="24"/>
  <c r="CB35" i="24"/>
  <c r="CB19" i="24"/>
  <c r="CB41" i="24"/>
  <c r="CB26" i="24"/>
  <c r="CB10" i="24"/>
  <c r="Q285" i="24"/>
  <c r="Q299" i="24"/>
  <c r="Q264" i="24"/>
  <c r="CB105" i="24"/>
  <c r="CB65" i="24"/>
  <c r="CB33" i="24"/>
  <c r="CB17" i="24"/>
  <c r="CB100" i="24"/>
  <c r="CB84" i="24"/>
  <c r="CB68" i="24"/>
  <c r="CB52" i="24"/>
  <c r="CB20" i="24"/>
  <c r="CB101" i="24"/>
  <c r="CB37" i="24"/>
  <c r="CB91" i="24"/>
  <c r="CB75" i="24"/>
  <c r="CB59" i="24"/>
  <c r="CB43" i="24"/>
  <c r="CB27" i="24"/>
  <c r="CB11" i="24"/>
  <c r="CB69" i="24"/>
  <c r="CB66" i="24"/>
  <c r="CB34" i="24"/>
  <c r="CB18" i="24"/>
  <c r="Q237" i="24"/>
  <c r="Q269" i="24"/>
  <c r="Q251" i="24"/>
  <c r="Q219" i="24"/>
  <c r="Q296" i="24"/>
  <c r="Q302" i="24"/>
  <c r="Q221" i="24"/>
  <c r="Q253" i="24"/>
  <c r="Q266" i="24"/>
  <c r="CB57" i="24"/>
  <c r="CB29" i="24"/>
  <c r="CB13" i="24"/>
  <c r="CB96" i="24"/>
  <c r="CB80" i="24"/>
  <c r="CB64" i="24"/>
  <c r="CB48" i="24"/>
  <c r="CB32" i="24"/>
  <c r="CB16" i="24"/>
  <c r="CB89" i="24"/>
  <c r="CB103" i="24"/>
  <c r="CB87" i="24"/>
  <c r="CB71" i="24"/>
  <c r="CB55" i="24"/>
  <c r="CB39" i="24"/>
  <c r="CB23" i="24"/>
  <c r="CB7" i="24"/>
  <c r="CB53" i="24"/>
  <c r="CB62" i="24"/>
  <c r="CB46" i="24"/>
  <c r="CB30" i="24"/>
  <c r="CB14" i="24"/>
  <c r="Q267" i="24"/>
  <c r="Q232" i="24"/>
  <c r="Q270" i="24"/>
  <c r="Q315" i="24"/>
  <c r="Q303" i="24"/>
  <c r="Q316" i="24"/>
  <c r="Q278" i="24"/>
  <c r="Q241" i="24"/>
  <c r="Q239" i="24"/>
  <c r="Q223" i="24"/>
  <c r="Q287" i="24"/>
  <c r="Q252" i="24"/>
  <c r="Q262" i="24"/>
  <c r="Q314" i="24"/>
  <c r="Q271" i="24"/>
  <c r="Q236" i="24"/>
  <c r="Q301" i="24"/>
  <c r="Q250" i="24"/>
  <c r="Q280" i="24"/>
  <c r="Q218" i="24"/>
  <c r="Q306" i="24"/>
  <c r="Q295" i="24"/>
  <c r="Q249" i="24"/>
  <c r="Q313" i="24"/>
  <c r="Q260" i="24"/>
  <c r="Q281" i="24"/>
  <c r="Q242" i="24"/>
  <c r="Q220" i="24"/>
  <c r="Q308" i="24"/>
  <c r="Q273" i="24"/>
  <c r="Q305" i="24"/>
  <c r="Q234" i="24"/>
  <c r="Q298" i="24"/>
  <c r="Q268" i="24"/>
  <c r="Q244" i="24"/>
  <c r="Q297" i="24"/>
  <c r="Q258" i="24"/>
  <c r="Q311" i="24"/>
  <c r="Q294" i="24"/>
  <c r="Q231" i="24"/>
  <c r="Q247" i="24"/>
  <c r="Q276" i="24"/>
  <c r="P189" i="24"/>
  <c r="Q189" i="24"/>
  <c r="P124" i="24"/>
  <c r="Q124" i="24"/>
  <c r="P156" i="24"/>
  <c r="Q156" i="24"/>
  <c r="P193" i="24"/>
  <c r="Q193" i="24"/>
  <c r="Q217" i="24"/>
  <c r="Q275" i="24"/>
  <c r="Q240" i="24"/>
  <c r="Q304" i="24"/>
  <c r="Q245" i="24"/>
  <c r="Q238" i="24"/>
  <c r="P160" i="24"/>
  <c r="Q160" i="24"/>
  <c r="P143" i="24"/>
  <c r="Q143" i="24"/>
  <c r="P138" i="24"/>
  <c r="Q138" i="24"/>
  <c r="P140" i="24"/>
  <c r="Q140" i="24"/>
  <c r="P164" i="24"/>
  <c r="Q164" i="24"/>
  <c r="P121" i="24"/>
  <c r="Q121" i="24"/>
  <c r="P117" i="24"/>
  <c r="Q117" i="24"/>
  <c r="P175" i="24"/>
  <c r="Q175" i="24"/>
  <c r="P114" i="24"/>
  <c r="Q114" i="24"/>
  <c r="P132" i="24"/>
  <c r="Q132" i="24"/>
  <c r="P176" i="24"/>
  <c r="Q176" i="24"/>
  <c r="P120" i="24"/>
  <c r="Q120" i="24"/>
  <c r="P209" i="24"/>
  <c r="Q209" i="24"/>
  <c r="P191" i="24"/>
  <c r="Q191" i="24"/>
  <c r="P204" i="24"/>
  <c r="Q204" i="24"/>
  <c r="P147" i="24"/>
  <c r="Q147" i="24"/>
  <c r="P178" i="24"/>
  <c r="Q178" i="24"/>
  <c r="P151" i="24"/>
  <c r="Q151" i="24"/>
  <c r="P180" i="24"/>
  <c r="Q180" i="24"/>
  <c r="Q246" i="24"/>
  <c r="Q224" i="24"/>
  <c r="Q293" i="24"/>
  <c r="Q286" i="24"/>
  <c r="P141" i="24"/>
  <c r="Q141" i="24"/>
  <c r="P174" i="24"/>
  <c r="Q174" i="24"/>
  <c r="P133" i="24"/>
  <c r="Q133" i="24"/>
  <c r="P171" i="24"/>
  <c r="Q171" i="24"/>
  <c r="P111" i="24"/>
  <c r="Q111" i="24"/>
  <c r="P185" i="24"/>
  <c r="Q185" i="24"/>
  <c r="P173" i="24"/>
  <c r="Q173" i="24"/>
  <c r="P127" i="24"/>
  <c r="Q127" i="24"/>
  <c r="P198" i="24"/>
  <c r="Q198" i="24"/>
  <c r="P202" i="24"/>
  <c r="Q202" i="24"/>
  <c r="P153" i="24"/>
  <c r="Q153" i="24"/>
  <c r="P166" i="24"/>
  <c r="Q166" i="24"/>
  <c r="P129" i="24"/>
  <c r="Q129" i="24"/>
  <c r="P146" i="24"/>
  <c r="Q146" i="24"/>
  <c r="P113" i="24"/>
  <c r="Q113" i="24"/>
  <c r="P184" i="24"/>
  <c r="Q184" i="24"/>
  <c r="P168" i="24"/>
  <c r="Q168" i="24"/>
  <c r="P130" i="24"/>
  <c r="Q130" i="24"/>
  <c r="Q227" i="24"/>
  <c r="Q259" i="24"/>
  <c r="Q288" i="24"/>
  <c r="Q307" i="24"/>
  <c r="Q229" i="24"/>
  <c r="Q261" i="24"/>
  <c r="P195" i="24"/>
  <c r="Q195" i="24"/>
  <c r="P139" i="24"/>
  <c r="Q139" i="24"/>
  <c r="P190" i="24"/>
  <c r="Q190" i="24"/>
  <c r="P197" i="24"/>
  <c r="Q197" i="24"/>
  <c r="P118" i="24"/>
  <c r="Q118" i="24"/>
  <c r="P135" i="24"/>
  <c r="Q135" i="24"/>
  <c r="P158" i="24"/>
  <c r="Q158" i="24"/>
  <c r="P126" i="24"/>
  <c r="Q126" i="24"/>
  <c r="P200" i="24"/>
  <c r="Q200" i="24"/>
  <c r="P144" i="24"/>
  <c r="Q144" i="24"/>
  <c r="U203" i="24"/>
  <c r="U179" i="24"/>
  <c r="U162" i="24"/>
  <c r="U116" i="24"/>
  <c r="U165" i="24"/>
  <c r="U141" i="24"/>
  <c r="U206" i="24"/>
  <c r="V206" i="24" s="1"/>
  <c r="U119" i="24"/>
  <c r="V119" i="24" s="1"/>
  <c r="U169" i="24"/>
  <c r="U208" i="24"/>
  <c r="U192" i="24"/>
  <c r="U187" i="24"/>
  <c r="U125" i="24"/>
  <c r="U163" i="24"/>
  <c r="U142" i="24"/>
  <c r="V142" i="24" s="1"/>
  <c r="U183" i="24"/>
  <c r="U137" i="24"/>
  <c r="V137" i="24" s="1"/>
  <c r="U128" i="24"/>
  <c r="U194" i="24"/>
  <c r="U115" i="24"/>
  <c r="U161" i="24"/>
  <c r="V161" i="24" s="1"/>
  <c r="U122" i="24"/>
  <c r="V122" i="24" s="1"/>
  <c r="U188" i="24"/>
  <c r="V188" i="24" s="1"/>
  <c r="U172" i="24"/>
  <c r="U207" i="24"/>
  <c r="U186" i="24"/>
  <c r="U170" i="24"/>
  <c r="V170" i="24" s="1"/>
  <c r="U154" i="24"/>
  <c r="U167" i="24"/>
  <c r="U149" i="24"/>
  <c r="V149" i="24" s="1"/>
  <c r="U159" i="24"/>
  <c r="U112" i="24"/>
  <c r="U205" i="24"/>
  <c r="U181" i="24"/>
  <c r="V181" i="24" s="1"/>
  <c r="U157" i="24"/>
  <c r="V157" i="24" s="1"/>
  <c r="U184" i="24"/>
  <c r="V184" i="24" s="1"/>
  <c r="U152" i="24"/>
  <c r="U136" i="24"/>
  <c r="V136" i="24" s="1"/>
  <c r="U199" i="24"/>
  <c r="U131" i="24"/>
  <c r="U182" i="24"/>
  <c r="V182" i="24" s="1"/>
  <c r="U150" i="24"/>
  <c r="V150" i="24" s="1"/>
  <c r="U134" i="24"/>
  <c r="V134" i="24" s="1"/>
  <c r="U155" i="24"/>
  <c r="V155" i="24" s="1"/>
  <c r="U123" i="24"/>
  <c r="U145" i="24"/>
  <c r="V145" i="24" s="1"/>
  <c r="U210" i="24"/>
  <c r="V210" i="24" s="1"/>
  <c r="U201" i="24"/>
  <c r="U177" i="24"/>
  <c r="V177" i="24" s="1"/>
  <c r="U196" i="24"/>
  <c r="V196" i="24" s="1"/>
  <c r="U148" i="24"/>
  <c r="V148" i="24" s="1"/>
  <c r="T117" i="25"/>
  <c r="T126" i="25"/>
  <c r="T127" i="25"/>
  <c r="T133" i="25"/>
  <c r="T141" i="25"/>
  <c r="T149" i="25"/>
  <c r="T157" i="25"/>
  <c r="T165" i="25"/>
  <c r="T173" i="25"/>
  <c r="T181" i="25"/>
  <c r="T189" i="25"/>
  <c r="T197" i="25"/>
  <c r="T142" i="25"/>
  <c r="T158" i="25"/>
  <c r="T190" i="25"/>
  <c r="T278" i="25"/>
  <c r="T139" i="25"/>
  <c r="T155" i="25"/>
  <c r="T171" i="25"/>
  <c r="T187" i="25"/>
  <c r="T209" i="25"/>
  <c r="T203" i="25"/>
  <c r="T258" i="25"/>
  <c r="T208" i="25"/>
  <c r="T245" i="25"/>
  <c r="T316" i="25"/>
  <c r="T281" i="25"/>
  <c r="T288" i="25"/>
  <c r="T306" i="25"/>
  <c r="T125" i="25"/>
  <c r="T128" i="25"/>
  <c r="T176" i="25"/>
  <c r="T146" i="25"/>
  <c r="T260" i="25"/>
  <c r="T271" i="25"/>
  <c r="T310" i="25"/>
  <c r="T121" i="25"/>
  <c r="T124" i="25"/>
  <c r="T118" i="25"/>
  <c r="T273" i="25"/>
  <c r="T145" i="25"/>
  <c r="T169" i="25"/>
  <c r="T177" i="25"/>
  <c r="T150" i="25"/>
  <c r="T198" i="25"/>
  <c r="T229" i="25"/>
  <c r="T131" i="25"/>
  <c r="T147" i="25"/>
  <c r="T163" i="25"/>
  <c r="T195" i="25"/>
  <c r="T205" i="25"/>
  <c r="T234" i="25"/>
  <c r="T266" i="25"/>
  <c r="T200" i="25"/>
  <c r="T280" i="25"/>
  <c r="T275" i="25"/>
  <c r="T314" i="25"/>
  <c r="T152" i="25"/>
  <c r="T184" i="25"/>
  <c r="T162" i="25"/>
  <c r="T202" i="25"/>
  <c r="T207" i="25"/>
  <c r="T292" i="25"/>
  <c r="T113" i="25"/>
  <c r="T122" i="25"/>
  <c r="T277" i="25"/>
  <c r="T132" i="25"/>
  <c r="T148" i="25"/>
  <c r="T156" i="25"/>
  <c r="T172" i="25"/>
  <c r="T180" i="25"/>
  <c r="T188" i="25"/>
  <c r="T138" i="25"/>
  <c r="T170" i="25"/>
  <c r="T256" i="25"/>
  <c r="T151" i="25"/>
  <c r="T183" i="25"/>
  <c r="T204" i="25"/>
  <c r="T309" i="25"/>
  <c r="T279" i="25"/>
  <c r="T120" i="25"/>
  <c r="T114" i="25"/>
  <c r="T168" i="25"/>
  <c r="T192" i="25"/>
  <c r="U204" i="24"/>
  <c r="V204" i="24" s="1"/>
  <c r="U120" i="24"/>
  <c r="V120" i="24" s="1"/>
  <c r="U209" i="24"/>
  <c r="V209" i="24" s="1"/>
  <c r="U175" i="24"/>
  <c r="U113" i="24"/>
  <c r="U202" i="24"/>
  <c r="V202" i="24" s="1"/>
  <c r="U198" i="24"/>
  <c r="U153" i="24"/>
  <c r="V153" i="24" s="1"/>
  <c r="U176" i="24"/>
  <c r="T111" i="25"/>
  <c r="T123" i="25"/>
  <c r="T140" i="25"/>
  <c r="T167" i="25"/>
  <c r="T206" i="25"/>
  <c r="T274" i="25"/>
  <c r="T136" i="25"/>
  <c r="T144" i="25"/>
  <c r="U191" i="24"/>
  <c r="U166" i="24"/>
  <c r="V166" i="24" s="1"/>
  <c r="U173" i="24"/>
  <c r="U127" i="24"/>
  <c r="V127" i="24" s="1"/>
  <c r="U114" i="24"/>
  <c r="V114" i="24" s="1"/>
  <c r="U132" i="24"/>
  <c r="T112" i="25"/>
  <c r="T196" i="25"/>
  <c r="T186" i="25"/>
  <c r="T135" i="25"/>
  <c r="T199" i="25"/>
  <c r="T143" i="25"/>
  <c r="T210" i="25"/>
  <c r="U117" i="24"/>
  <c r="V117" i="24" s="1"/>
  <c r="U185" i="24"/>
  <c r="T129" i="25"/>
  <c r="T153" i="25"/>
  <c r="T166" i="25"/>
  <c r="T179" i="25"/>
  <c r="T222" i="25"/>
  <c r="T230" i="25"/>
  <c r="T217" i="25"/>
  <c r="T232" i="25"/>
  <c r="T240" i="25"/>
  <c r="T264" i="25"/>
  <c r="T224" i="25"/>
  <c r="T308" i="25"/>
  <c r="T238" i="25"/>
  <c r="T257" i="25"/>
  <c r="T294" i="25"/>
  <c r="T284" i="25"/>
  <c r="T300" i="25"/>
  <c r="T304" i="25"/>
  <c r="T225" i="25"/>
  <c r="T252" i="25"/>
  <c r="T246" i="25"/>
  <c r="T299" i="25"/>
  <c r="T276" i="25"/>
  <c r="T227" i="25"/>
  <c r="T270" i="25"/>
  <c r="T220" i="25"/>
  <c r="T298" i="25"/>
  <c r="T250" i="25"/>
  <c r="T286" i="25"/>
  <c r="T289" i="25"/>
  <c r="T311" i="25"/>
  <c r="T295" i="25"/>
  <c r="T243" i="25"/>
  <c r="T251" i="25"/>
  <c r="T228" i="25"/>
  <c r="T305" i="25"/>
  <c r="T219" i="25"/>
  <c r="T239" i="25"/>
  <c r="T263" i="25"/>
  <c r="T253" i="25"/>
  <c r="T303" i="25"/>
  <c r="U129" i="24"/>
  <c r="V129" i="24" s="1"/>
  <c r="U146" i="24"/>
  <c r="V146" i="24" s="1"/>
  <c r="U190" i="24"/>
  <c r="V190" i="24" s="1"/>
  <c r="U250" i="24"/>
  <c r="V250" i="24" s="1"/>
  <c r="U218" i="24"/>
  <c r="U301" i="24"/>
  <c r="V301" i="24" s="1"/>
  <c r="U285" i="24"/>
  <c r="V285" i="24" s="1"/>
  <c r="U269" i="24"/>
  <c r="V269" i="24" s="1"/>
  <c r="U253" i="24"/>
  <c r="V253" i="24" s="1"/>
  <c r="U237" i="24"/>
  <c r="U221" i="24"/>
  <c r="V221" i="24" s="1"/>
  <c r="U266" i="24"/>
  <c r="V266" i="24" s="1"/>
  <c r="U296" i="24"/>
  <c r="U280" i="24"/>
  <c r="V280" i="24" s="1"/>
  <c r="U264" i="24"/>
  <c r="U232" i="24"/>
  <c r="U143" i="24"/>
  <c r="U302" i="24"/>
  <c r="U270" i="24"/>
  <c r="U126" i="24"/>
  <c r="U144" i="24"/>
  <c r="V144" i="24" s="1"/>
  <c r="U315" i="24"/>
  <c r="V315" i="24" s="1"/>
  <c r="U299" i="24"/>
  <c r="U267" i="24"/>
  <c r="U251" i="24"/>
  <c r="V251" i="24" s="1"/>
  <c r="U219" i="24"/>
  <c r="V219" i="24" s="1"/>
  <c r="T164" i="25"/>
  <c r="T154" i="25"/>
  <c r="T248" i="25"/>
  <c r="T254" i="25"/>
  <c r="T283" i="25"/>
  <c r="T241" i="25"/>
  <c r="T293" i="25"/>
  <c r="T315" i="25"/>
  <c r="U158" i="24"/>
  <c r="U197" i="24"/>
  <c r="U135" i="24"/>
  <c r="V135" i="24" s="1"/>
  <c r="U189" i="24"/>
  <c r="T231" i="25"/>
  <c r="T290" i="25"/>
  <c r="T221" i="25"/>
  <c r="T242" i="25"/>
  <c r="T261" i="25"/>
  <c r="T272" i="25"/>
  <c r="T297" i="25"/>
  <c r="U147" i="24"/>
  <c r="U138" i="24"/>
  <c r="V138" i="24" s="1"/>
  <c r="U118" i="24"/>
  <c r="V118" i="24" s="1"/>
  <c r="U200" i="24"/>
  <c r="T236" i="25"/>
  <c r="T268" i="25"/>
  <c r="T282" i="25"/>
  <c r="T262" i="25"/>
  <c r="T233" i="25"/>
  <c r="T249" i="25"/>
  <c r="T265" i="25"/>
  <c r="T285" i="25"/>
  <c r="T312" i="25"/>
  <c r="T307" i="25"/>
  <c r="T302" i="25"/>
  <c r="N216" i="24"/>
  <c r="Q216" i="24" s="1"/>
  <c r="U216" i="24"/>
  <c r="V216" i="24" s="1"/>
  <c r="U312" i="24"/>
  <c r="U235" i="24"/>
  <c r="J77" i="23"/>
  <c r="L77" i="23" s="1"/>
  <c r="U294" i="24"/>
  <c r="U242" i="24"/>
  <c r="V242" i="24" s="1"/>
  <c r="U174" i="24"/>
  <c r="V174" i="24" s="1"/>
  <c r="U313" i="24"/>
  <c r="V313" i="24" s="1"/>
  <c r="U297" i="24"/>
  <c r="V297" i="24" s="1"/>
  <c r="U281" i="24"/>
  <c r="V281" i="24" s="1"/>
  <c r="U265" i="24"/>
  <c r="V265" i="24" s="1"/>
  <c r="U249" i="24"/>
  <c r="V249" i="24" s="1"/>
  <c r="U233" i="24"/>
  <c r="V233" i="24" s="1"/>
  <c r="U306" i="24"/>
  <c r="U254" i="24"/>
  <c r="U308" i="24"/>
  <c r="U292" i="24"/>
  <c r="V292" i="24" s="1"/>
  <c r="U276" i="24"/>
  <c r="U260" i="24"/>
  <c r="V260" i="24" s="1"/>
  <c r="U244" i="24"/>
  <c r="U228" i="24"/>
  <c r="V228" i="24" s="1"/>
  <c r="U171" i="24"/>
  <c r="V171" i="24" s="1"/>
  <c r="U298" i="24"/>
  <c r="V298" i="24" s="1"/>
  <c r="U258" i="24"/>
  <c r="V258" i="24" s="1"/>
  <c r="U156" i="24"/>
  <c r="U140" i="24"/>
  <c r="U311" i="24"/>
  <c r="V311" i="24" s="1"/>
  <c r="U295" i="24"/>
  <c r="V295" i="24" s="1"/>
  <c r="U279" i="24"/>
  <c r="U263" i="24"/>
  <c r="V263" i="24" s="1"/>
  <c r="U247" i="24"/>
  <c r="U231" i="24"/>
  <c r="T223" i="25"/>
  <c r="T235" i="25"/>
  <c r="T259" i="25"/>
  <c r="T267" i="25"/>
  <c r="T291" i="25"/>
  <c r="T301" i="25"/>
  <c r="O216" i="25"/>
  <c r="S216" i="25" s="1"/>
  <c r="K216" i="25" s="1"/>
  <c r="T216" i="25"/>
  <c r="U216" i="25" s="1"/>
  <c r="U283" i="24"/>
  <c r="V283" i="24" s="1"/>
  <c r="U282" i="24"/>
  <c r="V282" i="24" s="1"/>
  <c r="U226" i="24"/>
  <c r="V226" i="24" s="1"/>
  <c r="U309" i="24"/>
  <c r="U293" i="24"/>
  <c r="V293" i="24" s="1"/>
  <c r="U277" i="24"/>
  <c r="V277" i="24" s="1"/>
  <c r="U261" i="24"/>
  <c r="U245" i="24"/>
  <c r="U229" i="24"/>
  <c r="V229" i="24" s="1"/>
  <c r="U290" i="24"/>
  <c r="V290" i="24" s="1"/>
  <c r="U238" i="24"/>
  <c r="V238" i="24" s="1"/>
  <c r="U133" i="24"/>
  <c r="U304" i="24"/>
  <c r="U288" i="24"/>
  <c r="V288" i="24" s="1"/>
  <c r="U272" i="24"/>
  <c r="V272" i="24" s="1"/>
  <c r="U256" i="24"/>
  <c r="U240" i="24"/>
  <c r="V240" i="24" s="1"/>
  <c r="U224" i="24"/>
  <c r="V224" i="24" s="1"/>
  <c r="U217" i="24"/>
  <c r="V217" i="24" s="1"/>
  <c r="U286" i="24"/>
  <c r="U246" i="24"/>
  <c r="U307" i="24"/>
  <c r="V307" i="24" s="1"/>
  <c r="U291" i="24"/>
  <c r="V291" i="24" s="1"/>
  <c r="U275" i="24"/>
  <c r="V275" i="24" s="1"/>
  <c r="U259" i="24"/>
  <c r="V259" i="24" s="1"/>
  <c r="U243" i="24"/>
  <c r="U227" i="24"/>
  <c r="T218" i="25"/>
  <c r="T226" i="25"/>
  <c r="T269" i="25"/>
  <c r="T115" i="25"/>
  <c r="T194" i="25"/>
  <c r="T244" i="25"/>
  <c r="T287" i="25"/>
  <c r="T175" i="25"/>
  <c r="T191" i="25"/>
  <c r="U310" i="24"/>
  <c r="U248" i="24"/>
  <c r="V248" i="24" s="1"/>
  <c r="U222" i="24"/>
  <c r="U262" i="24"/>
  <c r="U111" i="24"/>
  <c r="U305" i="24"/>
  <c r="V305" i="24" s="1"/>
  <c r="U289" i="24"/>
  <c r="V289" i="24" s="1"/>
  <c r="U273" i="24"/>
  <c r="V273" i="24" s="1"/>
  <c r="U257" i="24"/>
  <c r="V257" i="24" s="1"/>
  <c r="U241" i="24"/>
  <c r="V241" i="24" s="1"/>
  <c r="U225" i="24"/>
  <c r="V225" i="24" s="1"/>
  <c r="U278" i="24"/>
  <c r="V278" i="24" s="1"/>
  <c r="U230" i="24"/>
  <c r="V230" i="24" s="1"/>
  <c r="U316" i="24"/>
  <c r="U300" i="24"/>
  <c r="U284" i="24"/>
  <c r="U268" i="24"/>
  <c r="V268" i="24" s="1"/>
  <c r="U252" i="24"/>
  <c r="V252" i="24" s="1"/>
  <c r="U236" i="24"/>
  <c r="V236" i="24" s="1"/>
  <c r="U220" i="24"/>
  <c r="V220" i="24" s="1"/>
  <c r="U314" i="24"/>
  <c r="U274" i="24"/>
  <c r="U234" i="24"/>
  <c r="V234" i="24" s="1"/>
  <c r="U303" i="24"/>
  <c r="V303" i="24" s="1"/>
  <c r="U287" i="24"/>
  <c r="V287" i="24" s="1"/>
  <c r="U271" i="24"/>
  <c r="V271" i="24" s="1"/>
  <c r="U255" i="24"/>
  <c r="U239" i="24"/>
  <c r="V239" i="24" s="1"/>
  <c r="U223" i="24"/>
  <c r="T119" i="25"/>
  <c r="T137" i="25"/>
  <c r="T193" i="25"/>
  <c r="T134" i="25"/>
  <c r="T247" i="25"/>
  <c r="T255" i="25"/>
  <c r="T237" i="25"/>
  <c r="T313" i="25"/>
  <c r="T296" i="25"/>
  <c r="BM65" i="24"/>
  <c r="BP65" i="24" s="1"/>
  <c r="U65" i="24"/>
  <c r="V65" i="24" s="1"/>
  <c r="BM17" i="24"/>
  <c r="BP17" i="24" s="1"/>
  <c r="U17" i="24"/>
  <c r="V17" i="24" s="1"/>
  <c r="BM68" i="24"/>
  <c r="BP68" i="24" s="1"/>
  <c r="U68" i="24"/>
  <c r="BM20" i="24"/>
  <c r="BP20" i="24" s="1"/>
  <c r="U20" i="24"/>
  <c r="BM91" i="24"/>
  <c r="BP91" i="24" s="1"/>
  <c r="U91" i="24"/>
  <c r="BM43" i="24"/>
  <c r="BP43" i="24" s="1"/>
  <c r="U43" i="24"/>
  <c r="BM69" i="24"/>
  <c r="BP69" i="24" s="1"/>
  <c r="U69" i="24"/>
  <c r="V69" i="24" s="1"/>
  <c r="BM66" i="24"/>
  <c r="BP66" i="24" s="1"/>
  <c r="U66" i="24"/>
  <c r="BM50" i="24"/>
  <c r="BP50" i="24" s="1"/>
  <c r="U50" i="24"/>
  <c r="BM18" i="24"/>
  <c r="BP18" i="24" s="1"/>
  <c r="U18" i="24"/>
  <c r="BM97" i="24"/>
  <c r="BP97" i="24" s="1"/>
  <c r="U97" i="24"/>
  <c r="V97" i="24" s="1"/>
  <c r="BM57" i="24"/>
  <c r="BP57" i="24" s="1"/>
  <c r="U57" i="24"/>
  <c r="BM29" i="24"/>
  <c r="BP29" i="24" s="1"/>
  <c r="U29" i="24"/>
  <c r="BM13" i="24"/>
  <c r="BP13" i="24" s="1"/>
  <c r="U13" i="24"/>
  <c r="BM96" i="24"/>
  <c r="BP96" i="24" s="1"/>
  <c r="U96" i="24"/>
  <c r="BM80" i="24"/>
  <c r="BP80" i="24" s="1"/>
  <c r="U80" i="24"/>
  <c r="V80" i="24" s="1"/>
  <c r="BM64" i="24"/>
  <c r="BP64" i="24" s="1"/>
  <c r="U64" i="24"/>
  <c r="BM48" i="24"/>
  <c r="BP48" i="24" s="1"/>
  <c r="U48" i="24"/>
  <c r="BM32" i="24"/>
  <c r="BP32" i="24" s="1"/>
  <c r="U32" i="24"/>
  <c r="V32" i="24" s="1"/>
  <c r="BM16" i="24"/>
  <c r="BP16" i="24" s="1"/>
  <c r="U16" i="24"/>
  <c r="BM89" i="24"/>
  <c r="BP89" i="24" s="1"/>
  <c r="U89" i="24"/>
  <c r="V89" i="24" s="1"/>
  <c r="BM103" i="24"/>
  <c r="BP103" i="24" s="1"/>
  <c r="U103" i="24"/>
  <c r="BM87" i="24"/>
  <c r="BP87" i="24" s="1"/>
  <c r="U87" i="24"/>
  <c r="BM71" i="24"/>
  <c r="BP71" i="24" s="1"/>
  <c r="U71" i="24"/>
  <c r="BM55" i="24"/>
  <c r="BP55" i="24" s="1"/>
  <c r="U55" i="24"/>
  <c r="V55" i="24" s="1"/>
  <c r="BM39" i="24"/>
  <c r="BP39" i="24" s="1"/>
  <c r="U39" i="24"/>
  <c r="BM23" i="24"/>
  <c r="BP23" i="24" s="1"/>
  <c r="U23" i="24"/>
  <c r="BM7" i="24"/>
  <c r="BP7" i="24" s="1"/>
  <c r="U7" i="24"/>
  <c r="BM53" i="24"/>
  <c r="BP53" i="24" s="1"/>
  <c r="U53" i="24"/>
  <c r="BM94" i="24"/>
  <c r="BP94" i="24" s="1"/>
  <c r="U94" i="24"/>
  <c r="BM78" i="24"/>
  <c r="BP78" i="24" s="1"/>
  <c r="U78" i="24"/>
  <c r="BM62" i="24"/>
  <c r="BP62" i="24" s="1"/>
  <c r="U62" i="24"/>
  <c r="BM46" i="24"/>
  <c r="BP46" i="24" s="1"/>
  <c r="U46" i="24"/>
  <c r="BM30" i="24"/>
  <c r="BP30" i="24" s="1"/>
  <c r="U30" i="24"/>
  <c r="BM14" i="24"/>
  <c r="BP14" i="24" s="1"/>
  <c r="U14" i="24"/>
  <c r="BM105" i="24"/>
  <c r="BP105" i="24" s="1"/>
  <c r="U105" i="24"/>
  <c r="BM100" i="24"/>
  <c r="BP100" i="24" s="1"/>
  <c r="U100" i="24"/>
  <c r="BM52" i="24"/>
  <c r="BP52" i="24" s="1"/>
  <c r="U52" i="24"/>
  <c r="BM101" i="24"/>
  <c r="BP101" i="24" s="1"/>
  <c r="U101" i="24"/>
  <c r="V101" i="24" s="1"/>
  <c r="BM59" i="24"/>
  <c r="BP59" i="24" s="1"/>
  <c r="U59" i="24"/>
  <c r="V59" i="24" s="1"/>
  <c r="BM11" i="24"/>
  <c r="BP11" i="24" s="1"/>
  <c r="U11" i="24"/>
  <c r="V11" i="24" s="1"/>
  <c r="BM82" i="24"/>
  <c r="BP82" i="24" s="1"/>
  <c r="U82" i="24"/>
  <c r="BM34" i="24"/>
  <c r="BP34" i="24" s="1"/>
  <c r="U34" i="24"/>
  <c r="BM85" i="24"/>
  <c r="BP85" i="24" s="1"/>
  <c r="U85" i="24"/>
  <c r="BM49" i="24"/>
  <c r="BP49" i="24" s="1"/>
  <c r="U49" i="24"/>
  <c r="BM25" i="24"/>
  <c r="BP25" i="24" s="1"/>
  <c r="U25" i="24"/>
  <c r="BM9" i="24"/>
  <c r="BP9" i="24" s="1"/>
  <c r="U9" i="24"/>
  <c r="BM92" i="24"/>
  <c r="BP92" i="24" s="1"/>
  <c r="U92" i="24"/>
  <c r="BM76" i="24"/>
  <c r="BP76" i="24" s="1"/>
  <c r="U76" i="24"/>
  <c r="BM60" i="24"/>
  <c r="BP60" i="24" s="1"/>
  <c r="U60" i="24"/>
  <c r="BM44" i="24"/>
  <c r="BP44" i="24" s="1"/>
  <c r="U44" i="24"/>
  <c r="V44" i="24" s="1"/>
  <c r="BM28" i="24"/>
  <c r="BP28" i="24" s="1"/>
  <c r="U28" i="24"/>
  <c r="BM12" i="24"/>
  <c r="BP12" i="24" s="1"/>
  <c r="U12" i="24"/>
  <c r="BM73" i="24"/>
  <c r="BP73" i="24" s="1"/>
  <c r="U73" i="24"/>
  <c r="BM99" i="24"/>
  <c r="BP99" i="24" s="1"/>
  <c r="U99" i="24"/>
  <c r="BM83" i="24"/>
  <c r="BP83" i="24" s="1"/>
  <c r="U83" i="24"/>
  <c r="BM67" i="24"/>
  <c r="BP67" i="24" s="1"/>
  <c r="U67" i="24"/>
  <c r="BM51" i="24"/>
  <c r="BP51" i="24" s="1"/>
  <c r="U51" i="24"/>
  <c r="V51" i="24" s="1"/>
  <c r="BM35" i="24"/>
  <c r="BP35" i="24" s="1"/>
  <c r="U35" i="24"/>
  <c r="BM19" i="24"/>
  <c r="BP19" i="24" s="1"/>
  <c r="U19" i="24"/>
  <c r="BM93" i="24"/>
  <c r="BP93" i="24" s="1"/>
  <c r="U93" i="24"/>
  <c r="BM41" i="24"/>
  <c r="BP41" i="24" s="1"/>
  <c r="U41" i="24"/>
  <c r="BM90" i="24"/>
  <c r="BP90" i="24" s="1"/>
  <c r="U90" i="24"/>
  <c r="BM74" i="24"/>
  <c r="BP74" i="24" s="1"/>
  <c r="U74" i="24"/>
  <c r="BM58" i="24"/>
  <c r="BP58" i="24" s="1"/>
  <c r="U58" i="24"/>
  <c r="BM42" i="24"/>
  <c r="BP42" i="24" s="1"/>
  <c r="U42" i="24"/>
  <c r="BM26" i="24"/>
  <c r="BP26" i="24" s="1"/>
  <c r="U26" i="24"/>
  <c r="BM10" i="24"/>
  <c r="BP10" i="24" s="1"/>
  <c r="U10" i="24"/>
  <c r="BM33" i="24"/>
  <c r="BP33" i="24" s="1"/>
  <c r="U33" i="24"/>
  <c r="BM84" i="24"/>
  <c r="BP84" i="24" s="1"/>
  <c r="U84" i="24"/>
  <c r="BM36" i="24"/>
  <c r="BP36" i="24" s="1"/>
  <c r="U36" i="24"/>
  <c r="V36" i="24" s="1"/>
  <c r="BM37" i="24"/>
  <c r="BP37" i="24" s="1"/>
  <c r="U37" i="24"/>
  <c r="BM75" i="24"/>
  <c r="BP75" i="24" s="1"/>
  <c r="U75" i="24"/>
  <c r="BM27" i="24"/>
  <c r="BP27" i="24" s="1"/>
  <c r="U27" i="24"/>
  <c r="BM98" i="24"/>
  <c r="BP98" i="24" s="1"/>
  <c r="U98" i="24"/>
  <c r="V98" i="24" s="1"/>
  <c r="BM77" i="24"/>
  <c r="BP77" i="24" s="1"/>
  <c r="U77" i="24"/>
  <c r="BM45" i="24"/>
  <c r="BP45" i="24" s="1"/>
  <c r="U45" i="24"/>
  <c r="BM21" i="24"/>
  <c r="BP21" i="24" s="1"/>
  <c r="U21" i="24"/>
  <c r="BM104" i="24"/>
  <c r="BP104" i="24" s="1"/>
  <c r="U104" i="24"/>
  <c r="BM88" i="24"/>
  <c r="BP88" i="24" s="1"/>
  <c r="U88" i="24"/>
  <c r="BM72" i="24"/>
  <c r="BP72" i="24" s="1"/>
  <c r="U72" i="24"/>
  <c r="BM56" i="24"/>
  <c r="BP56" i="24" s="1"/>
  <c r="U56" i="24"/>
  <c r="V56" i="24" s="1"/>
  <c r="BM40" i="24"/>
  <c r="BP40" i="24" s="1"/>
  <c r="U40" i="24"/>
  <c r="BM24" i="24"/>
  <c r="BP24" i="24" s="1"/>
  <c r="U24" i="24"/>
  <c r="BM8" i="24"/>
  <c r="BP8" i="24" s="1"/>
  <c r="U8" i="24"/>
  <c r="BM61" i="24"/>
  <c r="BP61" i="24" s="1"/>
  <c r="U61" i="24"/>
  <c r="BM95" i="24"/>
  <c r="BP95" i="24" s="1"/>
  <c r="U95" i="24"/>
  <c r="BM79" i="24"/>
  <c r="BP79" i="24" s="1"/>
  <c r="U79" i="24"/>
  <c r="BM63" i="24"/>
  <c r="BP63" i="24" s="1"/>
  <c r="U63" i="24"/>
  <c r="BM47" i="24"/>
  <c r="BP47" i="24" s="1"/>
  <c r="U47" i="24"/>
  <c r="BM31" i="24"/>
  <c r="BP31" i="24" s="1"/>
  <c r="U31" i="24"/>
  <c r="BM15" i="24"/>
  <c r="BP15" i="24" s="1"/>
  <c r="U15" i="24"/>
  <c r="BM81" i="24"/>
  <c r="BP81" i="24" s="1"/>
  <c r="U81" i="24"/>
  <c r="BM102" i="24"/>
  <c r="BP102" i="24" s="1"/>
  <c r="U102" i="24"/>
  <c r="V102" i="24" s="1"/>
  <c r="BM86" i="24"/>
  <c r="BP86" i="24" s="1"/>
  <c r="U86" i="24"/>
  <c r="BM70" i="24"/>
  <c r="BP70" i="24" s="1"/>
  <c r="U70" i="24"/>
  <c r="V70" i="24" s="1"/>
  <c r="BM54" i="24"/>
  <c r="BP54" i="24" s="1"/>
  <c r="U54" i="24"/>
  <c r="BM38" i="24"/>
  <c r="BP38" i="24" s="1"/>
  <c r="U38" i="24"/>
  <c r="BM22" i="24"/>
  <c r="BP22" i="24" s="1"/>
  <c r="U22" i="24"/>
  <c r="V22" i="24" s="1"/>
  <c r="BM6" i="24"/>
  <c r="BP6" i="24" s="1"/>
  <c r="U6" i="24"/>
  <c r="BK26" i="25"/>
  <c r="BO26" i="25" s="1"/>
  <c r="T26" i="25"/>
  <c r="BK36" i="25"/>
  <c r="BO36" i="25" s="1"/>
  <c r="T36" i="25"/>
  <c r="BK46" i="25"/>
  <c r="BO46" i="25" s="1"/>
  <c r="T46" i="25"/>
  <c r="BK41" i="25"/>
  <c r="BO41" i="25" s="1"/>
  <c r="T41" i="25"/>
  <c r="BK81" i="25"/>
  <c r="BO81" i="25" s="1"/>
  <c r="T81" i="25"/>
  <c r="BK16" i="25"/>
  <c r="BO16" i="25" s="1"/>
  <c r="T16" i="25"/>
  <c r="BK32" i="25"/>
  <c r="BO32" i="25" s="1"/>
  <c r="T32" i="25"/>
  <c r="BK52" i="25"/>
  <c r="BO52" i="25" s="1"/>
  <c r="T52" i="25"/>
  <c r="BK68" i="25"/>
  <c r="BO68" i="25" s="1"/>
  <c r="T68" i="25"/>
  <c r="BK84" i="25"/>
  <c r="BO84" i="25" s="1"/>
  <c r="T84" i="25"/>
  <c r="BK66" i="25"/>
  <c r="BO66" i="25" s="1"/>
  <c r="T66" i="25"/>
  <c r="BK82" i="25"/>
  <c r="BO82" i="25" s="1"/>
  <c r="T82" i="25"/>
  <c r="BK9" i="25"/>
  <c r="BO9" i="25" s="1"/>
  <c r="T9" i="25"/>
  <c r="BK17" i="25"/>
  <c r="BO17" i="25" s="1"/>
  <c r="T17" i="25"/>
  <c r="BK49" i="25"/>
  <c r="BO49" i="25" s="1"/>
  <c r="T49" i="25"/>
  <c r="BK73" i="25"/>
  <c r="BO73" i="25" s="1"/>
  <c r="T73" i="25"/>
  <c r="BK23" i="25"/>
  <c r="BO23" i="25" s="1"/>
  <c r="T23" i="25"/>
  <c r="BK43" i="25"/>
  <c r="BO43" i="25" s="1"/>
  <c r="T43" i="25"/>
  <c r="BK59" i="25"/>
  <c r="BO59" i="25" s="1"/>
  <c r="T59" i="25"/>
  <c r="BK75" i="25"/>
  <c r="BO75" i="25" s="1"/>
  <c r="T75" i="25"/>
  <c r="BK94" i="25"/>
  <c r="BO94" i="25" s="1"/>
  <c r="T94" i="25"/>
  <c r="BK98" i="25"/>
  <c r="BO98" i="25" s="1"/>
  <c r="T98" i="25"/>
  <c r="BK102" i="25"/>
  <c r="BO102" i="25" s="1"/>
  <c r="T102" i="25"/>
  <c r="BK14" i="25"/>
  <c r="BO14" i="25" s="1"/>
  <c r="T14" i="25"/>
  <c r="BK30" i="25"/>
  <c r="BO30" i="25" s="1"/>
  <c r="T30" i="25"/>
  <c r="BK37" i="25"/>
  <c r="BO37" i="25" s="1"/>
  <c r="T37" i="25"/>
  <c r="BK50" i="25"/>
  <c r="BO50" i="25" s="1"/>
  <c r="T50" i="25"/>
  <c r="BK45" i="25"/>
  <c r="BO45" i="25" s="1"/>
  <c r="T45" i="25"/>
  <c r="BK89" i="25"/>
  <c r="BO89" i="25" s="1"/>
  <c r="T89" i="25"/>
  <c r="BK20" i="25"/>
  <c r="BO20" i="25" s="1"/>
  <c r="T20" i="25"/>
  <c r="BK40" i="25"/>
  <c r="BO40" i="25" s="1"/>
  <c r="T40" i="25"/>
  <c r="BK56" i="25"/>
  <c r="BO56" i="25" s="1"/>
  <c r="T56" i="25"/>
  <c r="BK72" i="25"/>
  <c r="BO72" i="25" s="1"/>
  <c r="T72" i="25"/>
  <c r="BK88" i="25"/>
  <c r="BO88" i="25" s="1"/>
  <c r="T88" i="25"/>
  <c r="BK70" i="25"/>
  <c r="BO70" i="25" s="1"/>
  <c r="T70" i="25"/>
  <c r="BK86" i="25"/>
  <c r="BO86" i="25" s="1"/>
  <c r="T86" i="25"/>
  <c r="BK10" i="25"/>
  <c r="BO10" i="25" s="1"/>
  <c r="T10" i="25"/>
  <c r="BK25" i="25"/>
  <c r="BO25" i="25" s="1"/>
  <c r="T25" i="25"/>
  <c r="BK57" i="25"/>
  <c r="BO57" i="25" s="1"/>
  <c r="T57" i="25"/>
  <c r="BK77" i="25"/>
  <c r="BO77" i="25" s="1"/>
  <c r="T77" i="25"/>
  <c r="BK27" i="25"/>
  <c r="BO27" i="25" s="1"/>
  <c r="T27" i="25"/>
  <c r="BK47" i="25"/>
  <c r="BO47" i="25" s="1"/>
  <c r="T47" i="25"/>
  <c r="BK63" i="25"/>
  <c r="BO63" i="25" s="1"/>
  <c r="T63" i="25"/>
  <c r="BK79" i="25"/>
  <c r="BO79" i="25" s="1"/>
  <c r="T79" i="25"/>
  <c r="BK91" i="25"/>
  <c r="BO91" i="25" s="1"/>
  <c r="T91" i="25"/>
  <c r="BK95" i="25"/>
  <c r="BO95" i="25" s="1"/>
  <c r="T95" i="25"/>
  <c r="BK99" i="25"/>
  <c r="BO99" i="25" s="1"/>
  <c r="T99" i="25"/>
  <c r="BK103" i="25"/>
  <c r="BO103" i="25" s="1"/>
  <c r="T103" i="25"/>
  <c r="BK18" i="25"/>
  <c r="BO18" i="25" s="1"/>
  <c r="T18" i="25"/>
  <c r="BK38" i="25"/>
  <c r="BO38" i="25" s="1"/>
  <c r="T38" i="25"/>
  <c r="BK58" i="25"/>
  <c r="BO58" i="25" s="1"/>
  <c r="T58" i="25"/>
  <c r="BK53" i="25"/>
  <c r="BO53" i="25" s="1"/>
  <c r="T53" i="25"/>
  <c r="BK24" i="25"/>
  <c r="BO24" i="25" s="1"/>
  <c r="T24" i="25"/>
  <c r="BK60" i="25"/>
  <c r="BO60" i="25" s="1"/>
  <c r="T60" i="25"/>
  <c r="BK76" i="25"/>
  <c r="BO76" i="25" s="1"/>
  <c r="T76" i="25"/>
  <c r="BK54" i="25"/>
  <c r="BO54" i="25" s="1"/>
  <c r="T54" i="25"/>
  <c r="BK74" i="25"/>
  <c r="BO74" i="25" s="1"/>
  <c r="T74" i="25"/>
  <c r="BK90" i="25"/>
  <c r="BO90" i="25" s="1"/>
  <c r="T90" i="25"/>
  <c r="BK11" i="25"/>
  <c r="BO11" i="25" s="1"/>
  <c r="T11" i="25"/>
  <c r="BK29" i="25"/>
  <c r="BO29" i="25" s="1"/>
  <c r="T29" i="25"/>
  <c r="BK61" i="25"/>
  <c r="BO61" i="25" s="1"/>
  <c r="T61" i="25"/>
  <c r="BK15" i="25"/>
  <c r="BO15" i="25" s="1"/>
  <c r="T15" i="25"/>
  <c r="BK31" i="25"/>
  <c r="BO31" i="25" s="1"/>
  <c r="T31" i="25"/>
  <c r="BK51" i="25"/>
  <c r="BO51" i="25" s="1"/>
  <c r="T51" i="25"/>
  <c r="BK67" i="25"/>
  <c r="BO67" i="25" s="1"/>
  <c r="T67" i="25"/>
  <c r="BK83" i="25"/>
  <c r="BO83" i="25" s="1"/>
  <c r="T83" i="25"/>
  <c r="BK92" i="25"/>
  <c r="BO92" i="25" s="1"/>
  <c r="T92" i="25"/>
  <c r="BK96" i="25"/>
  <c r="BO96" i="25" s="1"/>
  <c r="T96" i="25"/>
  <c r="BK100" i="25"/>
  <c r="BO100" i="25" s="1"/>
  <c r="T100" i="25"/>
  <c r="BK104" i="25"/>
  <c r="BO104" i="25" s="1"/>
  <c r="T104" i="25"/>
  <c r="BK34" i="25"/>
  <c r="BO34" i="25" s="1"/>
  <c r="T34" i="25"/>
  <c r="BK44" i="25"/>
  <c r="BO44" i="25" s="1"/>
  <c r="T44" i="25"/>
  <c r="BK85" i="25"/>
  <c r="BO85" i="25" s="1"/>
  <c r="T85" i="25"/>
  <c r="BK22" i="25"/>
  <c r="BO22" i="25" s="1"/>
  <c r="T22" i="25"/>
  <c r="BK35" i="25"/>
  <c r="BO35" i="25" s="1"/>
  <c r="T35" i="25"/>
  <c r="BK42" i="25"/>
  <c r="BO42" i="25" s="1"/>
  <c r="T42" i="25"/>
  <c r="BK21" i="25"/>
  <c r="BO21" i="25" s="1"/>
  <c r="T21" i="25"/>
  <c r="BK69" i="25"/>
  <c r="BO69" i="25" s="1"/>
  <c r="T69" i="25"/>
  <c r="BK12" i="25"/>
  <c r="BO12" i="25" s="1"/>
  <c r="T12" i="25"/>
  <c r="BK28" i="25"/>
  <c r="BO28" i="25" s="1"/>
  <c r="T28" i="25"/>
  <c r="BK48" i="25"/>
  <c r="BO48" i="25" s="1"/>
  <c r="T48" i="25"/>
  <c r="BK64" i="25"/>
  <c r="BO64" i="25" s="1"/>
  <c r="T64" i="25"/>
  <c r="BK80" i="25"/>
  <c r="BO80" i="25" s="1"/>
  <c r="T80" i="25"/>
  <c r="BK62" i="25"/>
  <c r="BO62" i="25" s="1"/>
  <c r="T62" i="25"/>
  <c r="BK78" i="25"/>
  <c r="BO78" i="25" s="1"/>
  <c r="T78" i="25"/>
  <c r="BK8" i="25"/>
  <c r="BO8" i="25" s="1"/>
  <c r="T8" i="25"/>
  <c r="BK13" i="25"/>
  <c r="BO13" i="25" s="1"/>
  <c r="T13" i="25"/>
  <c r="BK33" i="25"/>
  <c r="BO33" i="25" s="1"/>
  <c r="T33" i="25"/>
  <c r="BK65" i="25"/>
  <c r="BO65" i="25" s="1"/>
  <c r="T65" i="25"/>
  <c r="BK19" i="25"/>
  <c r="BO19" i="25" s="1"/>
  <c r="T19" i="25"/>
  <c r="BK39" i="25"/>
  <c r="BO39" i="25" s="1"/>
  <c r="T39" i="25"/>
  <c r="BK55" i="25"/>
  <c r="BO55" i="25" s="1"/>
  <c r="T55" i="25"/>
  <c r="BK71" i="25"/>
  <c r="BO71" i="25" s="1"/>
  <c r="T71" i="25"/>
  <c r="BK87" i="25"/>
  <c r="BO87" i="25" s="1"/>
  <c r="T87" i="25"/>
  <c r="BK93" i="25"/>
  <c r="BO93" i="25" s="1"/>
  <c r="T93" i="25"/>
  <c r="BK97" i="25"/>
  <c r="BO97" i="25" s="1"/>
  <c r="T97" i="25"/>
  <c r="BK101" i="25"/>
  <c r="BO101" i="25" s="1"/>
  <c r="T101" i="25"/>
  <c r="BK105" i="25"/>
  <c r="BO105" i="25" s="1"/>
  <c r="T105" i="25"/>
  <c r="U195" i="24"/>
  <c r="U124" i="24"/>
  <c r="U168" i="24"/>
  <c r="V168" i="24" s="1"/>
  <c r="T116" i="25"/>
  <c r="T174" i="25"/>
  <c r="T201" i="25"/>
  <c r="O110" i="25"/>
  <c r="Q110" i="25" s="1"/>
  <c r="CC110" i="25" s="1"/>
  <c r="U121" i="24"/>
  <c r="V121" i="24" s="1"/>
  <c r="U151" i="24"/>
  <c r="V151" i="24" s="1"/>
  <c r="U130" i="24"/>
  <c r="V130" i="24" s="1"/>
  <c r="U180" i="24"/>
  <c r="U164" i="24"/>
  <c r="V164" i="24" s="1"/>
  <c r="T160" i="25"/>
  <c r="T130" i="25"/>
  <c r="T178" i="25"/>
  <c r="T159" i="25"/>
  <c r="U178" i="24"/>
  <c r="V178" i="24" s="1"/>
  <c r="U139" i="24"/>
  <c r="V139" i="24" s="1"/>
  <c r="U193" i="24"/>
  <c r="U160" i="24"/>
  <c r="T161" i="25"/>
  <c r="T185" i="25"/>
  <c r="T182" i="25"/>
  <c r="W44" i="2"/>
  <c r="D45" i="16" s="1"/>
  <c r="R10" i="25"/>
  <c r="R80" i="25"/>
  <c r="Q9" i="25"/>
  <c r="Q53" i="25"/>
  <c r="Q18" i="25"/>
  <c r="R146" i="25"/>
  <c r="Q57" i="25"/>
  <c r="R55" i="25"/>
  <c r="R113" i="25"/>
  <c r="Q94" i="25"/>
  <c r="R52" i="25"/>
  <c r="R93" i="25"/>
  <c r="Q12" i="25"/>
  <c r="Q118" i="25"/>
  <c r="R32" i="25"/>
  <c r="R59" i="25"/>
  <c r="R150" i="25"/>
  <c r="R104" i="25"/>
  <c r="Q111" i="25"/>
  <c r="Q89" i="25"/>
  <c r="Q165" i="25"/>
  <c r="R155" i="25"/>
  <c r="R65" i="25"/>
  <c r="Q13" i="25"/>
  <c r="R31" i="25"/>
  <c r="Q172" i="25"/>
  <c r="Q176" i="25"/>
  <c r="B25" i="2"/>
  <c r="Q66" i="25"/>
  <c r="R210" i="25"/>
  <c r="Q35" i="25"/>
  <c r="R69" i="25"/>
  <c r="R76" i="25"/>
  <c r="Q37" i="25"/>
  <c r="R51" i="25"/>
  <c r="R84" i="25"/>
  <c r="R105" i="25"/>
  <c r="Q120" i="25"/>
  <c r="Q99" i="25"/>
  <c r="Q29" i="25"/>
  <c r="Q98" i="25"/>
  <c r="R131" i="25"/>
  <c r="R54" i="25"/>
  <c r="Q137" i="25"/>
  <c r="Q34" i="25"/>
  <c r="R103" i="25"/>
  <c r="Q20" i="25"/>
  <c r="Q63" i="25"/>
  <c r="R33" i="25"/>
  <c r="R91" i="25"/>
  <c r="R119" i="25"/>
  <c r="R58" i="25"/>
  <c r="R6" i="25"/>
  <c r="R90" i="25"/>
  <c r="Q16" i="25"/>
  <c r="R41" i="25"/>
  <c r="Q81" i="25"/>
  <c r="R82" i="25"/>
  <c r="R44" i="25"/>
  <c r="R130" i="25"/>
  <c r="Q115" i="25"/>
  <c r="R209" i="25"/>
  <c r="Q50" i="25"/>
  <c r="Q64" i="25"/>
  <c r="R132" i="25"/>
  <c r="Q61" i="25"/>
  <c r="Q157" i="25"/>
  <c r="Q122" i="25"/>
  <c r="R127" i="25"/>
  <c r="Q182" i="25"/>
  <c r="R152" i="25"/>
  <c r="Q126" i="25"/>
  <c r="R144" i="25"/>
  <c r="R128" i="25"/>
  <c r="Q139" i="25"/>
  <c r="R161" i="25"/>
  <c r="Q133" i="25"/>
  <c r="Q158" i="25"/>
  <c r="Q167" i="25"/>
  <c r="R206" i="25"/>
  <c r="Q177" i="25"/>
  <c r="Q198" i="25"/>
  <c r="R185" i="25"/>
  <c r="R129" i="25"/>
  <c r="Q123" i="25"/>
  <c r="R123" i="25"/>
  <c r="R169" i="25"/>
  <c r="Q175" i="25"/>
  <c r="R124" i="25"/>
  <c r="Q204" i="25"/>
  <c r="R200" i="25"/>
  <c r="R162" i="25"/>
  <c r="R134" i="25"/>
  <c r="Q171" i="25"/>
  <c r="R148" i="25"/>
  <c r="R72" i="25"/>
  <c r="Q170" i="25"/>
  <c r="R142" i="25"/>
  <c r="Q71" i="25"/>
  <c r="R114" i="25"/>
  <c r="R203" i="25"/>
  <c r="Q62" i="25"/>
  <c r="Q159" i="25"/>
  <c r="R85" i="25"/>
  <c r="R87" i="25"/>
  <c r="Q156" i="25"/>
  <c r="R178" i="25"/>
  <c r="R163" i="25"/>
  <c r="Q192" i="25"/>
  <c r="R36" i="25"/>
  <c r="R100" i="25"/>
  <c r="R96" i="25"/>
  <c r="R183" i="25"/>
  <c r="R8" i="25"/>
  <c r="R38" i="25"/>
  <c r="Q7" i="25"/>
  <c r="R208" i="25"/>
  <c r="Q46" i="25"/>
  <c r="Q140" i="25"/>
  <c r="Q141" i="25"/>
  <c r="R207" i="25"/>
  <c r="R168" i="25"/>
  <c r="Q17" i="25"/>
  <c r="R153" i="25"/>
  <c r="Q39" i="25"/>
  <c r="Q73" i="25"/>
  <c r="R116" i="25"/>
  <c r="R86" i="25"/>
  <c r="R125" i="25"/>
  <c r="Q189" i="25"/>
  <c r="R75" i="25"/>
  <c r="R166" i="25"/>
  <c r="R188" i="25"/>
  <c r="R196" i="25"/>
  <c r="R22" i="25"/>
  <c r="R47" i="25"/>
  <c r="R70" i="25"/>
  <c r="R14" i="25"/>
  <c r="Q42" i="25"/>
  <c r="R143" i="25"/>
  <c r="R197" i="25"/>
  <c r="R195" i="25"/>
  <c r="R187" i="25"/>
  <c r="Q30" i="25"/>
  <c r="Q67" i="25"/>
  <c r="Q160" i="25"/>
  <c r="R74" i="25"/>
  <c r="R56" i="25"/>
  <c r="R83" i="25"/>
  <c r="Q101" i="25"/>
  <c r="Q79" i="25"/>
  <c r="Q194" i="25"/>
  <c r="R43" i="25"/>
  <c r="Q138" i="25"/>
  <c r="Q49" i="25"/>
  <c r="Q68" i="25"/>
  <c r="R45" i="25"/>
  <c r="R88" i="25"/>
  <c r="Q25" i="25"/>
  <c r="Q136" i="25"/>
  <c r="R190" i="25"/>
  <c r="R26" i="25"/>
  <c r="Q151" i="25"/>
  <c r="R179" i="25"/>
  <c r="Q24" i="25"/>
  <c r="Q173" i="25"/>
  <c r="Q112" i="25"/>
  <c r="Q48" i="25"/>
  <c r="Q147" i="25"/>
  <c r="R121" i="25"/>
  <c r="Q202" i="25"/>
  <c r="R40" i="25"/>
  <c r="Q191" i="25"/>
  <c r="Q149" i="25"/>
  <c r="R193" i="25"/>
  <c r="Q201" i="25"/>
  <c r="R205" i="25"/>
  <c r="R174" i="25"/>
  <c r="R181" i="25"/>
  <c r="R21" i="25"/>
  <c r="R15" i="25"/>
  <c r="Q60" i="25"/>
  <c r="Q180" i="25"/>
  <c r="R23" i="25"/>
  <c r="R164" i="25"/>
  <c r="R78" i="25"/>
  <c r="Q27" i="25"/>
  <c r="R117" i="25"/>
  <c r="R77" i="25"/>
  <c r="Q102" i="25"/>
  <c r="R92" i="25"/>
  <c r="Q199" i="25"/>
  <c r="R28" i="25"/>
  <c r="R184" i="25"/>
  <c r="R11" i="25"/>
  <c r="Q95" i="25"/>
  <c r="Q145" i="25"/>
  <c r="Q19" i="25"/>
  <c r="R97" i="25"/>
  <c r="Q135" i="25"/>
  <c r="R154" i="25"/>
  <c r="R186" i="25"/>
  <c r="P9" i="25"/>
  <c r="P13" i="25"/>
  <c r="P17" i="25"/>
  <c r="P21" i="25"/>
  <c r="P25" i="25"/>
  <c r="P29" i="25"/>
  <c r="P33" i="25"/>
  <c r="P37" i="25"/>
  <c r="P41" i="25"/>
  <c r="P45" i="25"/>
  <c r="P49" i="25"/>
  <c r="P53" i="25"/>
  <c r="P57" i="25"/>
  <c r="P61" i="25"/>
  <c r="P65" i="25"/>
  <c r="P69" i="25"/>
  <c r="P73" i="25"/>
  <c r="P77" i="25"/>
  <c r="P81" i="25"/>
  <c r="P85" i="25"/>
  <c r="P89" i="25"/>
  <c r="P93" i="25"/>
  <c r="P97" i="25"/>
  <c r="P101" i="25"/>
  <c r="P105" i="25"/>
  <c r="P113" i="25"/>
  <c r="P117" i="25"/>
  <c r="P121" i="25"/>
  <c r="P125" i="25"/>
  <c r="P129" i="25"/>
  <c r="P133" i="25"/>
  <c r="P137" i="25"/>
  <c r="P141" i="25"/>
  <c r="P145" i="25"/>
  <c r="P149" i="25"/>
  <c r="P153" i="25"/>
  <c r="P157" i="25"/>
  <c r="P161" i="25"/>
  <c r="P165" i="25"/>
  <c r="P169" i="25"/>
  <c r="P173" i="25"/>
  <c r="P177" i="25"/>
  <c r="P181" i="25"/>
  <c r="P185" i="25"/>
  <c r="P189" i="25"/>
  <c r="P193" i="25"/>
  <c r="P197" i="25"/>
  <c r="P201" i="25"/>
  <c r="P205" i="25"/>
  <c r="P209" i="25"/>
  <c r="P6" i="25"/>
  <c r="P10" i="25"/>
  <c r="P14" i="25"/>
  <c r="P18" i="25"/>
  <c r="P22" i="25"/>
  <c r="P26" i="25"/>
  <c r="P30" i="25"/>
  <c r="P34" i="25"/>
  <c r="P38" i="25"/>
  <c r="P42" i="25"/>
  <c r="P46" i="25"/>
  <c r="P50" i="25"/>
  <c r="P54" i="25"/>
  <c r="P58" i="25"/>
  <c r="P62" i="25"/>
  <c r="P66" i="25"/>
  <c r="P70" i="25"/>
  <c r="P74" i="25"/>
  <c r="P78" i="25"/>
  <c r="P82" i="25"/>
  <c r="P86" i="25"/>
  <c r="P90" i="25"/>
  <c r="P94" i="25"/>
  <c r="P98" i="25"/>
  <c r="P102" i="25"/>
  <c r="P110" i="25"/>
  <c r="P114" i="25"/>
  <c r="P118" i="25"/>
  <c r="P122" i="25"/>
  <c r="P126" i="25"/>
  <c r="P130" i="25"/>
  <c r="P134" i="25"/>
  <c r="P138" i="25"/>
  <c r="P142" i="25"/>
  <c r="P146" i="25"/>
  <c r="P150" i="25"/>
  <c r="P154" i="25"/>
  <c r="P158" i="25"/>
  <c r="P162" i="25"/>
  <c r="P166" i="25"/>
  <c r="P170" i="25"/>
  <c r="P174" i="25"/>
  <c r="P178" i="25"/>
  <c r="P7" i="25"/>
  <c r="P11" i="25"/>
  <c r="P15" i="25"/>
  <c r="P19" i="25"/>
  <c r="P23" i="25"/>
  <c r="P27" i="25"/>
  <c r="P31" i="25"/>
  <c r="P35" i="25"/>
  <c r="P39" i="25"/>
  <c r="P43" i="25"/>
  <c r="P47" i="25"/>
  <c r="P51" i="25"/>
  <c r="P55" i="25"/>
  <c r="P59" i="25"/>
  <c r="P63" i="25"/>
  <c r="P67" i="25"/>
  <c r="P71" i="25"/>
  <c r="P75" i="25"/>
  <c r="P79" i="25"/>
  <c r="P83" i="25"/>
  <c r="P87" i="25"/>
  <c r="P91" i="25"/>
  <c r="P95" i="25"/>
  <c r="P99" i="25"/>
  <c r="P103" i="25"/>
  <c r="P111" i="25"/>
  <c r="P115" i="25"/>
  <c r="P119" i="25"/>
  <c r="P123" i="25"/>
  <c r="P127" i="25"/>
  <c r="P131" i="25"/>
  <c r="P135" i="25"/>
  <c r="P139" i="25"/>
  <c r="P143" i="25"/>
  <c r="P147" i="25"/>
  <c r="P151" i="25"/>
  <c r="P155" i="25"/>
  <c r="P159" i="25"/>
  <c r="P163" i="25"/>
  <c r="P167" i="25"/>
  <c r="P171" i="25"/>
  <c r="P175" i="25"/>
  <c r="P179" i="25"/>
  <c r="P183" i="25"/>
  <c r="P187" i="25"/>
  <c r="P191" i="25"/>
  <c r="P195" i="25"/>
  <c r="P199" i="25"/>
  <c r="P203" i="25"/>
  <c r="P207" i="25"/>
  <c r="P216" i="25"/>
  <c r="P220" i="25"/>
  <c r="P224" i="25"/>
  <c r="P228" i="25"/>
  <c r="P232" i="25"/>
  <c r="P236" i="25"/>
  <c r="P240" i="25"/>
  <c r="P244" i="25"/>
  <c r="P248" i="25"/>
  <c r="P252" i="25"/>
  <c r="P20" i="25"/>
  <c r="P36" i="25"/>
  <c r="P52" i="25"/>
  <c r="P68" i="25"/>
  <c r="P84" i="25"/>
  <c r="P100" i="25"/>
  <c r="P120" i="25"/>
  <c r="P136" i="25"/>
  <c r="P152" i="25"/>
  <c r="P168" i="25"/>
  <c r="P182" i="25"/>
  <c r="P190" i="25"/>
  <c r="P198" i="25"/>
  <c r="P206" i="25"/>
  <c r="P218" i="25"/>
  <c r="P223" i="25"/>
  <c r="P229" i="25"/>
  <c r="P234" i="25"/>
  <c r="P239" i="25"/>
  <c r="P245" i="25"/>
  <c r="P250" i="25"/>
  <c r="P255" i="25"/>
  <c r="P259" i="25"/>
  <c r="P263" i="25"/>
  <c r="P267" i="25"/>
  <c r="P271" i="25"/>
  <c r="P275" i="25"/>
  <c r="P279" i="25"/>
  <c r="P283" i="25"/>
  <c r="P287" i="25"/>
  <c r="P291" i="25"/>
  <c r="P295" i="25"/>
  <c r="P299" i="25"/>
  <c r="P303" i="25"/>
  <c r="P307" i="25"/>
  <c r="P311" i="25"/>
  <c r="P315" i="25"/>
  <c r="P8" i="25"/>
  <c r="P56" i="25"/>
  <c r="P88" i="25"/>
  <c r="P140" i="25"/>
  <c r="P184" i="25"/>
  <c r="P208" i="25"/>
  <c r="P225" i="25"/>
  <c r="P246" i="25"/>
  <c r="P260" i="25"/>
  <c r="P268" i="25"/>
  <c r="P280" i="25"/>
  <c r="P292" i="25"/>
  <c r="P304" i="25"/>
  <c r="P316" i="25"/>
  <c r="P12" i="25"/>
  <c r="P28" i="25"/>
  <c r="P44" i="25"/>
  <c r="P60" i="25"/>
  <c r="P76" i="25"/>
  <c r="P92" i="25"/>
  <c r="P112" i="25"/>
  <c r="P128" i="25"/>
  <c r="P144" i="25"/>
  <c r="P160" i="25"/>
  <c r="P176" i="25"/>
  <c r="P186" i="25"/>
  <c r="P194" i="25"/>
  <c r="P202" i="25"/>
  <c r="P210" i="25"/>
  <c r="P221" i="25"/>
  <c r="P226" i="25"/>
  <c r="P231" i="25"/>
  <c r="P237" i="25"/>
  <c r="P242" i="25"/>
  <c r="P247" i="25"/>
  <c r="P253" i="25"/>
  <c r="P257" i="25"/>
  <c r="P261" i="25"/>
  <c r="P265" i="25"/>
  <c r="P269" i="25"/>
  <c r="P273" i="25"/>
  <c r="P277" i="25"/>
  <c r="P281" i="25"/>
  <c r="P285" i="25"/>
  <c r="P289" i="25"/>
  <c r="P293" i="25"/>
  <c r="P297" i="25"/>
  <c r="P301" i="25"/>
  <c r="P305" i="25"/>
  <c r="P309" i="25"/>
  <c r="P313" i="25"/>
  <c r="P5" i="25"/>
  <c r="P302" i="25"/>
  <c r="P24" i="25"/>
  <c r="P72" i="25"/>
  <c r="P124" i="25"/>
  <c r="P156" i="25"/>
  <c r="P192" i="25"/>
  <c r="P219" i="25"/>
  <c r="P230" i="25"/>
  <c r="P241" i="25"/>
  <c r="P256" i="25"/>
  <c r="P264" i="25"/>
  <c r="P276" i="25"/>
  <c r="P284" i="25"/>
  <c r="P296" i="25"/>
  <c r="P308" i="25"/>
  <c r="P312" i="25"/>
  <c r="P16" i="25"/>
  <c r="P32" i="25"/>
  <c r="P48" i="25"/>
  <c r="P64" i="25"/>
  <c r="P80" i="25"/>
  <c r="P96" i="25"/>
  <c r="P116" i="25"/>
  <c r="P132" i="25"/>
  <c r="P148" i="25"/>
  <c r="P164" i="25"/>
  <c r="P180" i="25"/>
  <c r="P188" i="25"/>
  <c r="P196" i="25"/>
  <c r="P204" i="25"/>
  <c r="P217" i="25"/>
  <c r="P222" i="25"/>
  <c r="P227" i="25"/>
  <c r="P233" i="25"/>
  <c r="P238" i="25"/>
  <c r="P243" i="25"/>
  <c r="P249" i="25"/>
  <c r="P254" i="25"/>
  <c r="P258" i="25"/>
  <c r="P262" i="25"/>
  <c r="P266" i="25"/>
  <c r="P270" i="25"/>
  <c r="P274" i="25"/>
  <c r="P278" i="25"/>
  <c r="P282" i="25"/>
  <c r="P286" i="25"/>
  <c r="P290" i="25"/>
  <c r="P294" i="25"/>
  <c r="P298" i="25"/>
  <c r="P306" i="25"/>
  <c r="P310" i="25"/>
  <c r="P314" i="25"/>
  <c r="P40" i="25"/>
  <c r="P104" i="25"/>
  <c r="P172" i="25"/>
  <c r="P200" i="25"/>
  <c r="P235" i="25"/>
  <c r="P251" i="25"/>
  <c r="P272" i="25"/>
  <c r="P288" i="25"/>
  <c r="P300" i="25"/>
  <c r="O5" i="25"/>
  <c r="BZ18" i="25"/>
  <c r="BZ38" i="25"/>
  <c r="BZ58" i="25"/>
  <c r="BZ53" i="25"/>
  <c r="BZ24" i="25"/>
  <c r="BZ60" i="25"/>
  <c r="BZ76" i="25"/>
  <c r="BZ74" i="25"/>
  <c r="BZ90" i="25"/>
  <c r="BZ11" i="25"/>
  <c r="BZ61" i="25"/>
  <c r="BZ85" i="25"/>
  <c r="BZ31" i="25"/>
  <c r="BZ67" i="25"/>
  <c r="BZ83" i="25"/>
  <c r="BZ92" i="25"/>
  <c r="BZ100" i="25"/>
  <c r="BZ22" i="25"/>
  <c r="BZ42" i="25"/>
  <c r="BZ69" i="25"/>
  <c r="BZ28" i="25"/>
  <c r="BZ64" i="25"/>
  <c r="BZ13" i="25"/>
  <c r="BZ33" i="25"/>
  <c r="BZ65" i="25"/>
  <c r="BZ19" i="25"/>
  <c r="BZ55" i="25"/>
  <c r="BZ71" i="25"/>
  <c r="BZ87" i="25"/>
  <c r="BZ97" i="25"/>
  <c r="BZ105" i="25"/>
  <c r="BZ26" i="25"/>
  <c r="BZ36" i="25"/>
  <c r="BZ46" i="25"/>
  <c r="BZ41" i="25"/>
  <c r="BZ81" i="25"/>
  <c r="BZ16" i="25"/>
  <c r="BZ32" i="25"/>
  <c r="BZ52" i="25"/>
  <c r="BZ68" i="25"/>
  <c r="BZ84" i="25"/>
  <c r="BZ66" i="25"/>
  <c r="BZ82" i="25"/>
  <c r="BZ9" i="25"/>
  <c r="BZ17" i="25"/>
  <c r="BZ49" i="25"/>
  <c r="BZ73" i="25"/>
  <c r="BZ23" i="25"/>
  <c r="BZ43" i="25"/>
  <c r="BZ59" i="25"/>
  <c r="BZ75" i="25"/>
  <c r="BZ94" i="25"/>
  <c r="BZ98" i="25"/>
  <c r="BZ102" i="25"/>
  <c r="BZ34" i="25"/>
  <c r="BZ44" i="25"/>
  <c r="BZ54" i="25"/>
  <c r="BZ29" i="25"/>
  <c r="BZ15" i="25"/>
  <c r="BZ51" i="25"/>
  <c r="BZ96" i="25"/>
  <c r="BZ104" i="25"/>
  <c r="BZ35" i="25"/>
  <c r="BZ21" i="25"/>
  <c r="BZ12" i="25"/>
  <c r="BZ48" i="25"/>
  <c r="BZ80" i="25"/>
  <c r="BZ62" i="25"/>
  <c r="BZ78" i="25"/>
  <c r="BZ8" i="25"/>
  <c r="BZ39" i="25"/>
  <c r="BZ93" i="25"/>
  <c r="BZ101" i="25"/>
  <c r="BZ14" i="25"/>
  <c r="BZ30" i="25"/>
  <c r="BZ37" i="25"/>
  <c r="BZ50" i="25"/>
  <c r="BZ45" i="25"/>
  <c r="BZ89" i="25"/>
  <c r="BZ20" i="25"/>
  <c r="BZ40" i="25"/>
  <c r="BZ56" i="25"/>
  <c r="BZ72" i="25"/>
  <c r="BZ88" i="25"/>
  <c r="BZ70" i="25"/>
  <c r="BZ86" i="25"/>
  <c r="BZ10" i="25"/>
  <c r="BZ25" i="25"/>
  <c r="BZ57" i="25"/>
  <c r="BZ77" i="25"/>
  <c r="BZ27" i="25"/>
  <c r="BZ47" i="25"/>
  <c r="BZ63" i="25"/>
  <c r="BZ79" i="25"/>
  <c r="BZ91" i="25"/>
  <c r="BZ95" i="25"/>
  <c r="BZ99" i="25"/>
  <c r="BZ103" i="25"/>
  <c r="AY7" i="19"/>
  <c r="BD7" i="19" s="1"/>
  <c r="BN7" i="19"/>
  <c r="AY8" i="19"/>
  <c r="BC8" i="19" s="1"/>
  <c r="BN8" i="19"/>
  <c r="AY6" i="19"/>
  <c r="BJ6" i="19" s="1"/>
  <c r="BN6" i="19"/>
  <c r="AY9" i="19"/>
  <c r="BN9" i="19"/>
  <c r="R313" i="25"/>
  <c r="Q313" i="25"/>
  <c r="R256" i="25"/>
  <c r="Q256" i="25"/>
  <c r="R291" i="25"/>
  <c r="Q291" i="25"/>
  <c r="R259" i="25"/>
  <c r="Q259" i="25"/>
  <c r="R218" i="25"/>
  <c r="Q218" i="25"/>
  <c r="R226" i="25"/>
  <c r="Q226" i="25"/>
  <c r="R309" i="25"/>
  <c r="Q309" i="25"/>
  <c r="R277" i="25"/>
  <c r="Q277" i="25"/>
  <c r="R287" i="25"/>
  <c r="Q287" i="25"/>
  <c r="R255" i="25"/>
  <c r="Q255" i="25"/>
  <c r="R223" i="25"/>
  <c r="Q223" i="25"/>
  <c r="R296" i="25"/>
  <c r="Q296" i="25"/>
  <c r="R267" i="25"/>
  <c r="Q267" i="25"/>
  <c r="R235" i="25"/>
  <c r="Q235" i="25"/>
  <c r="R285" i="25"/>
  <c r="Q285" i="25"/>
  <c r="R221" i="25"/>
  <c r="Q221" i="25"/>
  <c r="R231" i="25"/>
  <c r="Q231" i="25"/>
  <c r="R281" i="25"/>
  <c r="Q281" i="25"/>
  <c r="R249" i="25"/>
  <c r="Q249" i="25"/>
  <c r="R217" i="25"/>
  <c r="Q217" i="25"/>
  <c r="R288" i="25"/>
  <c r="Q288" i="25"/>
  <c r="R224" i="25"/>
  <c r="Q224" i="25"/>
  <c r="R227" i="25"/>
  <c r="Q227" i="25"/>
  <c r="R298" i="25"/>
  <c r="Q298" i="25"/>
  <c r="R245" i="25"/>
  <c r="Q245" i="25"/>
  <c r="R316" i="25"/>
  <c r="Q316" i="25"/>
  <c r="R284" i="25"/>
  <c r="Q284" i="25"/>
  <c r="R252" i="25"/>
  <c r="Q252" i="25"/>
  <c r="R220" i="25"/>
  <c r="Q220" i="25"/>
  <c r="R294" i="25"/>
  <c r="Q294" i="25"/>
  <c r="R278" i="25"/>
  <c r="Q278" i="25"/>
  <c r="R270" i="25"/>
  <c r="Q270" i="25"/>
  <c r="R289" i="25"/>
  <c r="Q289" i="25"/>
  <c r="R257" i="25"/>
  <c r="Q257" i="25"/>
  <c r="R225" i="25"/>
  <c r="Q225" i="25"/>
  <c r="R264" i="25"/>
  <c r="Q264" i="25"/>
  <c r="R232" i="25"/>
  <c r="Q232" i="25"/>
  <c r="R299" i="25"/>
  <c r="Q299" i="25"/>
  <c r="R306" i="25"/>
  <c r="Q306" i="25"/>
  <c r="R250" i="25"/>
  <c r="Q250" i="25"/>
  <c r="R258" i="25"/>
  <c r="Q258" i="25"/>
  <c r="R301" i="25"/>
  <c r="Q301" i="25"/>
  <c r="R269" i="25"/>
  <c r="Q269" i="25"/>
  <c r="R237" i="25"/>
  <c r="Q237" i="25"/>
  <c r="R244" i="25"/>
  <c r="Q244" i="25"/>
  <c r="R279" i="25"/>
  <c r="Q279" i="25"/>
  <c r="R247" i="25"/>
  <c r="Q247" i="25"/>
  <c r="R302" i="25"/>
  <c r="Q302" i="25"/>
  <c r="R234" i="25"/>
  <c r="Q234" i="25"/>
  <c r="R242" i="25"/>
  <c r="Q242" i="25"/>
  <c r="R304" i="25"/>
  <c r="Q304" i="25"/>
  <c r="R240" i="25"/>
  <c r="Q240" i="25"/>
  <c r="R243" i="25"/>
  <c r="Q243" i="25"/>
  <c r="R230" i="25"/>
  <c r="Q230" i="25"/>
  <c r="R222" i="25"/>
  <c r="Q222" i="25"/>
  <c r="R300" i="25"/>
  <c r="Q300" i="25"/>
  <c r="R303" i="25"/>
  <c r="Q303" i="25"/>
  <c r="R271" i="25"/>
  <c r="Q271" i="25"/>
  <c r="R239" i="25"/>
  <c r="Q239" i="25"/>
  <c r="R310" i="25"/>
  <c r="Q310" i="25"/>
  <c r="R274" i="25"/>
  <c r="Q274" i="25"/>
  <c r="R305" i="25"/>
  <c r="Q305" i="25"/>
  <c r="R251" i="25"/>
  <c r="Q251" i="25"/>
  <c r="R219" i="25"/>
  <c r="Q219" i="25"/>
  <c r="R308" i="25"/>
  <c r="Q308" i="25"/>
  <c r="R276" i="25"/>
  <c r="Q276" i="25"/>
  <c r="R311" i="25"/>
  <c r="Q311" i="25"/>
  <c r="R297" i="25"/>
  <c r="Q297" i="25"/>
  <c r="R265" i="25"/>
  <c r="Q265" i="25"/>
  <c r="R233" i="25"/>
  <c r="Q233" i="25"/>
  <c r="R272" i="25"/>
  <c r="Q272" i="25"/>
  <c r="R307" i="25"/>
  <c r="Q307" i="25"/>
  <c r="R275" i="25"/>
  <c r="Q275" i="25"/>
  <c r="R314" i="25"/>
  <c r="Q314" i="25"/>
  <c r="R282" i="25"/>
  <c r="Q282" i="25"/>
  <c r="R293" i="25"/>
  <c r="Q293" i="25"/>
  <c r="R261" i="25"/>
  <c r="Q261" i="25"/>
  <c r="R229" i="25"/>
  <c r="Q229" i="25"/>
  <c r="R268" i="25"/>
  <c r="Q268" i="25"/>
  <c r="R236" i="25"/>
  <c r="Q236" i="25"/>
  <c r="R266" i="25"/>
  <c r="Q266" i="25"/>
  <c r="R273" i="25"/>
  <c r="Q273" i="25"/>
  <c r="R241" i="25"/>
  <c r="Q241" i="25"/>
  <c r="R312" i="25"/>
  <c r="Q312" i="25"/>
  <c r="R280" i="25"/>
  <c r="Q280" i="25"/>
  <c r="R248" i="25"/>
  <c r="Q248" i="25"/>
  <c r="R315" i="25"/>
  <c r="Q315" i="25"/>
  <c r="R283" i="25"/>
  <c r="Q283" i="25"/>
  <c r="R290" i="25"/>
  <c r="Q290" i="25"/>
  <c r="R262" i="25"/>
  <c r="Q262" i="25"/>
  <c r="R254" i="25"/>
  <c r="Q254" i="25"/>
  <c r="R253" i="25"/>
  <c r="Q253" i="25"/>
  <c r="R292" i="25"/>
  <c r="Q292" i="25"/>
  <c r="R260" i="25"/>
  <c r="Q260" i="25"/>
  <c r="R228" i="25"/>
  <c r="Q228" i="25"/>
  <c r="R295" i="25"/>
  <c r="Q295" i="25"/>
  <c r="R263" i="25"/>
  <c r="Q263" i="25"/>
  <c r="R286" i="25"/>
  <c r="Q286" i="25"/>
  <c r="R246" i="25"/>
  <c r="Q246" i="25"/>
  <c r="R238" i="25"/>
  <c r="Q238" i="25"/>
  <c r="AL34" i="25"/>
  <c r="H34" i="25"/>
  <c r="AH34" i="25" s="1"/>
  <c r="S34" i="25"/>
  <c r="K34" i="25" s="1"/>
  <c r="AL58" i="25"/>
  <c r="H58" i="25"/>
  <c r="AH58" i="25" s="1"/>
  <c r="S58" i="25"/>
  <c r="K58" i="25" s="1"/>
  <c r="H121" i="25"/>
  <c r="AH121" i="25" s="1"/>
  <c r="AL121" i="25"/>
  <c r="S121" i="25"/>
  <c r="K121" i="25" s="1"/>
  <c r="AL44" i="25"/>
  <c r="H44" i="25"/>
  <c r="AH44" i="25" s="1"/>
  <c r="S44" i="25"/>
  <c r="K44" i="25" s="1"/>
  <c r="AL76" i="25"/>
  <c r="H76" i="25"/>
  <c r="AH76" i="25" s="1"/>
  <c r="S76" i="25"/>
  <c r="K76" i="25" s="1"/>
  <c r="AL74" i="25"/>
  <c r="H74" i="25"/>
  <c r="AH74" i="25" s="1"/>
  <c r="S74" i="25"/>
  <c r="K74" i="25" s="1"/>
  <c r="AL124" i="25"/>
  <c r="H124" i="25"/>
  <c r="AH124" i="25" s="1"/>
  <c r="S124" i="25"/>
  <c r="K124" i="25" s="1"/>
  <c r="AL17" i="25"/>
  <c r="H17" i="25"/>
  <c r="AH17" i="25" s="1"/>
  <c r="S17" i="25"/>
  <c r="K17" i="25" s="1"/>
  <c r="AL73" i="25"/>
  <c r="H73" i="25"/>
  <c r="AH73" i="25" s="1"/>
  <c r="S73" i="25"/>
  <c r="K73" i="25" s="1"/>
  <c r="AL23" i="25"/>
  <c r="H23" i="25"/>
  <c r="AH23" i="25" s="1"/>
  <c r="S23" i="25"/>
  <c r="K23" i="25" s="1"/>
  <c r="AL43" i="25"/>
  <c r="H43" i="25"/>
  <c r="AH43" i="25" s="1"/>
  <c r="S43" i="25"/>
  <c r="K43" i="25" s="1"/>
  <c r="AL75" i="25"/>
  <c r="H75" i="25"/>
  <c r="AH75" i="25" s="1"/>
  <c r="S75" i="25"/>
  <c r="K75" i="25" s="1"/>
  <c r="H223" i="25"/>
  <c r="AH223" i="25" s="1"/>
  <c r="AL223" i="25"/>
  <c r="S223" i="25"/>
  <c r="K223" i="25" s="1"/>
  <c r="H290" i="25"/>
  <c r="AH290" i="25" s="1"/>
  <c r="AL290" i="25"/>
  <c r="S290" i="25"/>
  <c r="K290" i="25" s="1"/>
  <c r="AL98" i="25"/>
  <c r="H98" i="25"/>
  <c r="AH98" i="25" s="1"/>
  <c r="S98" i="25"/>
  <c r="K98" i="25" s="1"/>
  <c r="AL111" i="25"/>
  <c r="H111" i="25"/>
  <c r="AH111" i="25" s="1"/>
  <c r="S111" i="25"/>
  <c r="K111" i="25" s="1"/>
  <c r="H133" i="25"/>
  <c r="AH133" i="25" s="1"/>
  <c r="AL133" i="25"/>
  <c r="S133" i="25"/>
  <c r="K133" i="25" s="1"/>
  <c r="H141" i="25"/>
  <c r="AH141" i="25" s="1"/>
  <c r="AL141" i="25"/>
  <c r="S141" i="25"/>
  <c r="K141" i="25" s="1"/>
  <c r="H157" i="25"/>
  <c r="AH157" i="25" s="1"/>
  <c r="AL157" i="25"/>
  <c r="S157" i="25"/>
  <c r="K157" i="25" s="1"/>
  <c r="H173" i="25"/>
  <c r="AH173" i="25" s="1"/>
  <c r="AL173" i="25"/>
  <c r="S173" i="25"/>
  <c r="K173" i="25" s="1"/>
  <c r="H197" i="25"/>
  <c r="AH197" i="25" s="1"/>
  <c r="AL197" i="25"/>
  <c r="S197" i="25"/>
  <c r="K197" i="25" s="1"/>
  <c r="H158" i="25"/>
  <c r="AH158" i="25" s="1"/>
  <c r="AL158" i="25"/>
  <c r="S158" i="25"/>
  <c r="K158" i="25" s="1"/>
  <c r="H190" i="25"/>
  <c r="AH190" i="25" s="1"/>
  <c r="AL190" i="25"/>
  <c r="S190" i="25"/>
  <c r="K190" i="25" s="1"/>
  <c r="H235" i="25"/>
  <c r="AH235" i="25" s="1"/>
  <c r="AL235" i="25"/>
  <c r="S235" i="25"/>
  <c r="K235" i="25" s="1"/>
  <c r="H251" i="25"/>
  <c r="AH251" i="25" s="1"/>
  <c r="AL251" i="25"/>
  <c r="S251" i="25"/>
  <c r="K251" i="25" s="1"/>
  <c r="H267" i="25"/>
  <c r="AH267" i="25" s="1"/>
  <c r="AL267" i="25"/>
  <c r="S267" i="25"/>
  <c r="K267" i="25" s="1"/>
  <c r="AL155" i="25"/>
  <c r="H155" i="25"/>
  <c r="AH155" i="25" s="1"/>
  <c r="S155" i="25"/>
  <c r="K155" i="25" s="1"/>
  <c r="AL187" i="25"/>
  <c r="H187" i="25"/>
  <c r="AH187" i="25" s="1"/>
  <c r="S187" i="25"/>
  <c r="K187" i="25" s="1"/>
  <c r="AL201" i="25"/>
  <c r="H201" i="25"/>
  <c r="AH201" i="25" s="1"/>
  <c r="S201" i="25"/>
  <c r="K201" i="25" s="1"/>
  <c r="AL316" i="25"/>
  <c r="H316" i="25"/>
  <c r="AH316" i="25" s="1"/>
  <c r="S316" i="25"/>
  <c r="K316" i="25" s="1"/>
  <c r="AL14" i="25"/>
  <c r="H14" i="25"/>
  <c r="AH14" i="25" s="1"/>
  <c r="S14" i="25"/>
  <c r="K14" i="25" s="1"/>
  <c r="AL30" i="25"/>
  <c r="H30" i="25"/>
  <c r="AH30" i="25" s="1"/>
  <c r="S30" i="25"/>
  <c r="K30" i="25" s="1"/>
  <c r="AL37" i="25"/>
  <c r="H37" i="25"/>
  <c r="AH37" i="25" s="1"/>
  <c r="S37" i="25"/>
  <c r="K37" i="25" s="1"/>
  <c r="AL50" i="25"/>
  <c r="H50" i="25"/>
  <c r="AH50" i="25" s="1"/>
  <c r="S50" i="25"/>
  <c r="K50" i="25" s="1"/>
  <c r="AL45" i="25"/>
  <c r="H45" i="25"/>
  <c r="AH45" i="25" s="1"/>
  <c r="S45" i="25"/>
  <c r="K45" i="25" s="1"/>
  <c r="AL89" i="25"/>
  <c r="H89" i="25"/>
  <c r="AH89" i="25" s="1"/>
  <c r="S89" i="25"/>
  <c r="K89" i="25" s="1"/>
  <c r="AL20" i="25"/>
  <c r="H20" i="25"/>
  <c r="AH20" i="25" s="1"/>
  <c r="S20" i="25"/>
  <c r="K20" i="25" s="1"/>
  <c r="AL40" i="25"/>
  <c r="H40" i="25"/>
  <c r="AH40" i="25" s="1"/>
  <c r="S40" i="25"/>
  <c r="K40" i="25" s="1"/>
  <c r="AL56" i="25"/>
  <c r="H56" i="25"/>
  <c r="AH56" i="25" s="1"/>
  <c r="S56" i="25"/>
  <c r="K56" i="25" s="1"/>
  <c r="AL72" i="25"/>
  <c r="H72" i="25"/>
  <c r="AH72" i="25" s="1"/>
  <c r="S72" i="25"/>
  <c r="K72" i="25" s="1"/>
  <c r="AL88" i="25"/>
  <c r="H88" i="25"/>
  <c r="AH88" i="25" s="1"/>
  <c r="S88" i="25"/>
  <c r="K88" i="25" s="1"/>
  <c r="AL70" i="25"/>
  <c r="H70" i="25"/>
  <c r="AH70" i="25" s="1"/>
  <c r="S70" i="25"/>
  <c r="K70" i="25" s="1"/>
  <c r="AL86" i="25"/>
  <c r="H86" i="25"/>
  <c r="AH86" i="25" s="1"/>
  <c r="S86" i="25"/>
  <c r="K86" i="25" s="1"/>
  <c r="AL120" i="25"/>
  <c r="H120" i="25"/>
  <c r="AH120" i="25" s="1"/>
  <c r="S120" i="25"/>
  <c r="K120" i="25" s="1"/>
  <c r="H8" i="25"/>
  <c r="AH8" i="25" s="1"/>
  <c r="AL8" i="25"/>
  <c r="S8" i="25"/>
  <c r="K8" i="25" s="1"/>
  <c r="AL13" i="25"/>
  <c r="H13" i="25"/>
  <c r="AH13" i="25" s="1"/>
  <c r="S13" i="25"/>
  <c r="K13" i="25" s="1"/>
  <c r="AL33" i="25"/>
  <c r="H33" i="25"/>
  <c r="AH33" i="25" s="1"/>
  <c r="S33" i="25"/>
  <c r="K33" i="25" s="1"/>
  <c r="AL65" i="25"/>
  <c r="H65" i="25"/>
  <c r="AH65" i="25" s="1"/>
  <c r="S65" i="25"/>
  <c r="K65" i="25" s="1"/>
  <c r="H113" i="25"/>
  <c r="AH113" i="25" s="1"/>
  <c r="AL113" i="25"/>
  <c r="S113" i="25"/>
  <c r="K113" i="25" s="1"/>
  <c r="AL19" i="25"/>
  <c r="H19" i="25"/>
  <c r="AH19" i="25" s="1"/>
  <c r="S19" i="25"/>
  <c r="K19" i="25" s="1"/>
  <c r="AL39" i="25"/>
  <c r="H39" i="25"/>
  <c r="AH39" i="25" s="1"/>
  <c r="S39" i="25"/>
  <c r="K39" i="25" s="1"/>
  <c r="AL55" i="25"/>
  <c r="H55" i="25"/>
  <c r="AH55" i="25" s="1"/>
  <c r="S55" i="25"/>
  <c r="K55" i="25" s="1"/>
  <c r="AL71" i="25"/>
  <c r="H71" i="25"/>
  <c r="AH71" i="25" s="1"/>
  <c r="S71" i="25"/>
  <c r="K71" i="25" s="1"/>
  <c r="AL87" i="25"/>
  <c r="H87" i="25"/>
  <c r="AH87" i="25" s="1"/>
  <c r="S87" i="25"/>
  <c r="K87" i="25" s="1"/>
  <c r="H122" i="25"/>
  <c r="AH122" i="25" s="1"/>
  <c r="AL122" i="25"/>
  <c r="S122" i="25"/>
  <c r="K122" i="25" s="1"/>
  <c r="H222" i="25"/>
  <c r="AH222" i="25" s="1"/>
  <c r="AL222" i="25"/>
  <c r="S222" i="25"/>
  <c r="K222" i="25" s="1"/>
  <c r="H230" i="25"/>
  <c r="AH230" i="25" s="1"/>
  <c r="AL230" i="25"/>
  <c r="S230" i="25"/>
  <c r="K230" i="25" s="1"/>
  <c r="AL277" i="25"/>
  <c r="H277" i="25"/>
  <c r="AH277" i="25" s="1"/>
  <c r="S277" i="25"/>
  <c r="K277" i="25" s="1"/>
  <c r="AL93" i="25"/>
  <c r="H93" i="25"/>
  <c r="AH93" i="25" s="1"/>
  <c r="S93" i="25"/>
  <c r="K93" i="25" s="1"/>
  <c r="AL97" i="25"/>
  <c r="H97" i="25"/>
  <c r="AH97" i="25" s="1"/>
  <c r="S97" i="25"/>
  <c r="K97" i="25" s="1"/>
  <c r="AL101" i="25"/>
  <c r="H101" i="25"/>
  <c r="AH101" i="25" s="1"/>
  <c r="S101" i="25"/>
  <c r="K101" i="25" s="1"/>
  <c r="AL105" i="25"/>
  <c r="H105" i="25"/>
  <c r="AH105" i="25" s="1"/>
  <c r="S105" i="25"/>
  <c r="K105" i="25" s="1"/>
  <c r="AL123" i="25"/>
  <c r="H123" i="25"/>
  <c r="AH123" i="25" s="1"/>
  <c r="S123" i="25"/>
  <c r="K123" i="25" s="1"/>
  <c r="AL132" i="25"/>
  <c r="H132" i="25"/>
  <c r="AH132" i="25" s="1"/>
  <c r="S132" i="25"/>
  <c r="K132" i="25" s="1"/>
  <c r="AL140" i="25"/>
  <c r="H140" i="25"/>
  <c r="AH140" i="25" s="1"/>
  <c r="S140" i="25"/>
  <c r="K140" i="25" s="1"/>
  <c r="AL148" i="25"/>
  <c r="H148" i="25"/>
  <c r="AH148" i="25" s="1"/>
  <c r="S148" i="25"/>
  <c r="K148" i="25" s="1"/>
  <c r="AL156" i="25"/>
  <c r="H156" i="25"/>
  <c r="AH156" i="25" s="1"/>
  <c r="S156" i="25"/>
  <c r="K156" i="25" s="1"/>
  <c r="AL164" i="25"/>
  <c r="H164" i="25"/>
  <c r="AH164" i="25" s="1"/>
  <c r="S164" i="25"/>
  <c r="K164" i="25" s="1"/>
  <c r="AL172" i="25"/>
  <c r="H172" i="25"/>
  <c r="AH172" i="25" s="1"/>
  <c r="S172" i="25"/>
  <c r="K172" i="25" s="1"/>
  <c r="AL180" i="25"/>
  <c r="H180" i="25"/>
  <c r="AH180" i="25" s="1"/>
  <c r="S180" i="25"/>
  <c r="K180" i="25" s="1"/>
  <c r="AL188" i="25"/>
  <c r="H188" i="25"/>
  <c r="AH188" i="25" s="1"/>
  <c r="S188" i="25"/>
  <c r="K188" i="25" s="1"/>
  <c r="AL196" i="25"/>
  <c r="H196" i="25"/>
  <c r="AH196" i="25" s="1"/>
  <c r="S196" i="25"/>
  <c r="K196" i="25" s="1"/>
  <c r="H138" i="25"/>
  <c r="AH138" i="25" s="1"/>
  <c r="AL138" i="25"/>
  <c r="S138" i="25"/>
  <c r="K138" i="25" s="1"/>
  <c r="H154" i="25"/>
  <c r="AH154" i="25" s="1"/>
  <c r="AL154" i="25"/>
  <c r="S154" i="25"/>
  <c r="K154" i="25" s="1"/>
  <c r="H170" i="25"/>
  <c r="AH170" i="25" s="1"/>
  <c r="AL170" i="25"/>
  <c r="S170" i="25"/>
  <c r="K170" i="25" s="1"/>
  <c r="H186" i="25"/>
  <c r="AH186" i="25" s="1"/>
  <c r="AL186" i="25"/>
  <c r="S186" i="25"/>
  <c r="K186" i="25" s="1"/>
  <c r="H217" i="25"/>
  <c r="AH217" i="25" s="1"/>
  <c r="AL217" i="25"/>
  <c r="S217" i="25"/>
  <c r="K217" i="25" s="1"/>
  <c r="H232" i="25"/>
  <c r="AH232" i="25" s="1"/>
  <c r="AL232" i="25"/>
  <c r="S232" i="25"/>
  <c r="K232" i="25" s="1"/>
  <c r="H240" i="25"/>
  <c r="AH240" i="25" s="1"/>
  <c r="AL240" i="25"/>
  <c r="S240" i="25"/>
  <c r="K240" i="25" s="1"/>
  <c r="H248" i="25"/>
  <c r="AH248" i="25" s="1"/>
  <c r="AL248" i="25"/>
  <c r="S248" i="25"/>
  <c r="K248" i="25" s="1"/>
  <c r="H256" i="25"/>
  <c r="AH256" i="25" s="1"/>
  <c r="AL256" i="25"/>
  <c r="S256" i="25"/>
  <c r="K256" i="25" s="1"/>
  <c r="H264" i="25"/>
  <c r="AH264" i="25" s="1"/>
  <c r="AL264" i="25"/>
  <c r="S264" i="25"/>
  <c r="K264" i="25" s="1"/>
  <c r="AL274" i="25"/>
  <c r="H274" i="25"/>
  <c r="AH274" i="25" s="1"/>
  <c r="S274" i="25"/>
  <c r="K274" i="25" s="1"/>
  <c r="AL135" i="25"/>
  <c r="H135" i="25"/>
  <c r="AH135" i="25" s="1"/>
  <c r="S135" i="25"/>
  <c r="K135" i="25" s="1"/>
  <c r="AL151" i="25"/>
  <c r="H151" i="25"/>
  <c r="AH151" i="25" s="1"/>
  <c r="S151" i="25"/>
  <c r="K151" i="25" s="1"/>
  <c r="AL167" i="25"/>
  <c r="H167" i="25"/>
  <c r="AH167" i="25" s="1"/>
  <c r="S167" i="25"/>
  <c r="K167" i="25" s="1"/>
  <c r="AL183" i="25"/>
  <c r="H183" i="25"/>
  <c r="AH183" i="25" s="1"/>
  <c r="S183" i="25"/>
  <c r="K183" i="25" s="1"/>
  <c r="AL199" i="25"/>
  <c r="H199" i="25"/>
  <c r="AH199" i="25" s="1"/>
  <c r="S199" i="25"/>
  <c r="K199" i="25" s="1"/>
  <c r="H206" i="25"/>
  <c r="AH206" i="25" s="1"/>
  <c r="AL206" i="25"/>
  <c r="S206" i="25"/>
  <c r="K206" i="25" s="1"/>
  <c r="H224" i="25"/>
  <c r="AH224" i="25" s="1"/>
  <c r="AL224" i="25"/>
  <c r="S224" i="25"/>
  <c r="K224" i="25" s="1"/>
  <c r="AL308" i="25"/>
  <c r="H308" i="25"/>
  <c r="AH308" i="25" s="1"/>
  <c r="S308" i="25"/>
  <c r="K308" i="25" s="1"/>
  <c r="H238" i="25"/>
  <c r="AH238" i="25" s="1"/>
  <c r="AL238" i="25"/>
  <c r="S238" i="25"/>
  <c r="K238" i="25" s="1"/>
  <c r="H254" i="25"/>
  <c r="AH254" i="25" s="1"/>
  <c r="AL254" i="25"/>
  <c r="S254" i="25"/>
  <c r="K254" i="25" s="1"/>
  <c r="H283" i="25"/>
  <c r="AH283" i="25" s="1"/>
  <c r="AL283" i="25"/>
  <c r="S283" i="25"/>
  <c r="K283" i="25" s="1"/>
  <c r="AL204" i="25"/>
  <c r="H204" i="25"/>
  <c r="AH204" i="25" s="1"/>
  <c r="S204" i="25"/>
  <c r="K204" i="25" s="1"/>
  <c r="H241" i="25"/>
  <c r="AH241" i="25" s="1"/>
  <c r="AL241" i="25"/>
  <c r="S241" i="25"/>
  <c r="K241" i="25" s="1"/>
  <c r="H257" i="25"/>
  <c r="AH257" i="25" s="1"/>
  <c r="AL257" i="25"/>
  <c r="S257" i="25"/>
  <c r="K257" i="25" s="1"/>
  <c r="H294" i="25"/>
  <c r="AH294" i="25" s="1"/>
  <c r="AL294" i="25"/>
  <c r="S294" i="25"/>
  <c r="K294" i="25" s="1"/>
  <c r="AL309" i="25"/>
  <c r="H309" i="25"/>
  <c r="AH309" i="25" s="1"/>
  <c r="S309" i="25"/>
  <c r="K309" i="25" s="1"/>
  <c r="AL279" i="25"/>
  <c r="H279" i="25"/>
  <c r="AH279" i="25" s="1"/>
  <c r="S279" i="25"/>
  <c r="K279" i="25" s="1"/>
  <c r="H293" i="25"/>
  <c r="AH293" i="25" s="1"/>
  <c r="AL293" i="25"/>
  <c r="S293" i="25"/>
  <c r="K293" i="25" s="1"/>
  <c r="H284" i="25"/>
  <c r="AH284" i="25" s="1"/>
  <c r="AL284" i="25"/>
  <c r="S284" i="25"/>
  <c r="K284" i="25" s="1"/>
  <c r="AL300" i="25"/>
  <c r="H300" i="25"/>
  <c r="AH300" i="25" s="1"/>
  <c r="S300" i="25"/>
  <c r="K300" i="25" s="1"/>
  <c r="AL315" i="25"/>
  <c r="H315" i="25"/>
  <c r="AH315" i="25" s="1"/>
  <c r="S315" i="25"/>
  <c r="K315" i="25" s="1"/>
  <c r="AL304" i="25"/>
  <c r="H304" i="25"/>
  <c r="AH304" i="25" s="1"/>
  <c r="S304" i="25"/>
  <c r="K304" i="25" s="1"/>
  <c r="AL18" i="25"/>
  <c r="H18" i="25"/>
  <c r="AH18" i="25" s="1"/>
  <c r="S18" i="25"/>
  <c r="K18" i="25" s="1"/>
  <c r="AL38" i="25"/>
  <c r="H38" i="25"/>
  <c r="AH38" i="25" s="1"/>
  <c r="S38" i="25"/>
  <c r="K38" i="25" s="1"/>
  <c r="AL53" i="25"/>
  <c r="H53" i="25"/>
  <c r="AH53" i="25" s="1"/>
  <c r="S53" i="25"/>
  <c r="K53" i="25" s="1"/>
  <c r="AL24" i="25"/>
  <c r="H24" i="25"/>
  <c r="AH24" i="25" s="1"/>
  <c r="S24" i="25"/>
  <c r="K24" i="25" s="1"/>
  <c r="AL60" i="25"/>
  <c r="H60" i="25"/>
  <c r="AH60" i="25" s="1"/>
  <c r="S60" i="25"/>
  <c r="K60" i="25" s="1"/>
  <c r="AL54" i="25"/>
  <c r="H54" i="25"/>
  <c r="AH54" i="25" s="1"/>
  <c r="S54" i="25"/>
  <c r="K54" i="25" s="1"/>
  <c r="AL90" i="25"/>
  <c r="H90" i="25"/>
  <c r="AH90" i="25" s="1"/>
  <c r="S90" i="25"/>
  <c r="K90" i="25" s="1"/>
  <c r="AL9" i="25"/>
  <c r="H9" i="25"/>
  <c r="AH9" i="25" s="1"/>
  <c r="S9" i="25"/>
  <c r="K9" i="25" s="1"/>
  <c r="AL49" i="25"/>
  <c r="H49" i="25"/>
  <c r="AH49" i="25" s="1"/>
  <c r="S49" i="25"/>
  <c r="K49" i="25" s="1"/>
  <c r="H117" i="25"/>
  <c r="AH117" i="25" s="1"/>
  <c r="AL117" i="25"/>
  <c r="S117" i="25"/>
  <c r="K117" i="25" s="1"/>
  <c r="AL59" i="25"/>
  <c r="H59" i="25"/>
  <c r="AH59" i="25" s="1"/>
  <c r="S59" i="25"/>
  <c r="K59" i="25" s="1"/>
  <c r="H295" i="25"/>
  <c r="AH295" i="25" s="1"/>
  <c r="AL295" i="25"/>
  <c r="S295" i="25"/>
  <c r="K295" i="25" s="1"/>
  <c r="H126" i="25"/>
  <c r="AH126" i="25" s="1"/>
  <c r="AL126" i="25"/>
  <c r="S126" i="25"/>
  <c r="K126" i="25" s="1"/>
  <c r="H231" i="25"/>
  <c r="AH231" i="25" s="1"/>
  <c r="AL231" i="25"/>
  <c r="S231" i="25"/>
  <c r="K231" i="25" s="1"/>
  <c r="AL94" i="25"/>
  <c r="H94" i="25"/>
  <c r="AH94" i="25" s="1"/>
  <c r="S94" i="25"/>
  <c r="K94" i="25" s="1"/>
  <c r="AL102" i="25"/>
  <c r="H102" i="25"/>
  <c r="AH102" i="25" s="1"/>
  <c r="S102" i="25"/>
  <c r="K102" i="25" s="1"/>
  <c r="AL127" i="25"/>
  <c r="H127" i="25"/>
  <c r="AH127" i="25" s="1"/>
  <c r="S127" i="25"/>
  <c r="K127" i="25" s="1"/>
  <c r="H149" i="25"/>
  <c r="AH149" i="25" s="1"/>
  <c r="AL149" i="25"/>
  <c r="S149" i="25"/>
  <c r="K149" i="25" s="1"/>
  <c r="H165" i="25"/>
  <c r="AH165" i="25" s="1"/>
  <c r="AL165" i="25"/>
  <c r="S165" i="25"/>
  <c r="K165" i="25" s="1"/>
  <c r="H181" i="25"/>
  <c r="AH181" i="25" s="1"/>
  <c r="AL181" i="25"/>
  <c r="S181" i="25"/>
  <c r="K181" i="25" s="1"/>
  <c r="H189" i="25"/>
  <c r="AH189" i="25" s="1"/>
  <c r="AL189" i="25"/>
  <c r="S189" i="25"/>
  <c r="K189" i="25" s="1"/>
  <c r="H142" i="25"/>
  <c r="AH142" i="25" s="1"/>
  <c r="AL142" i="25"/>
  <c r="S142" i="25"/>
  <c r="K142" i="25" s="1"/>
  <c r="H174" i="25"/>
  <c r="AH174" i="25" s="1"/>
  <c r="AL174" i="25"/>
  <c r="S174" i="25"/>
  <c r="K174" i="25" s="1"/>
  <c r="H221" i="25"/>
  <c r="AH221" i="25" s="1"/>
  <c r="AL221" i="25"/>
  <c r="S221" i="25"/>
  <c r="K221" i="25" s="1"/>
  <c r="H243" i="25"/>
  <c r="AH243" i="25" s="1"/>
  <c r="AL243" i="25"/>
  <c r="S243" i="25"/>
  <c r="K243" i="25" s="1"/>
  <c r="H259" i="25"/>
  <c r="AH259" i="25" s="1"/>
  <c r="AL259" i="25"/>
  <c r="S259" i="25"/>
  <c r="K259" i="25" s="1"/>
  <c r="AL278" i="25"/>
  <c r="H278" i="25"/>
  <c r="AH278" i="25" s="1"/>
  <c r="S278" i="25"/>
  <c r="K278" i="25" s="1"/>
  <c r="AL139" i="25"/>
  <c r="H139" i="25"/>
  <c r="AH139" i="25" s="1"/>
  <c r="S139" i="25"/>
  <c r="K139" i="25" s="1"/>
  <c r="AL171" i="25"/>
  <c r="H171" i="25"/>
  <c r="AH171" i="25" s="1"/>
  <c r="S171" i="25"/>
  <c r="K171" i="25" s="1"/>
  <c r="AL209" i="25"/>
  <c r="H209" i="25"/>
  <c r="AH209" i="25" s="1"/>
  <c r="S209" i="25"/>
  <c r="K209" i="25" s="1"/>
  <c r="H228" i="25"/>
  <c r="AH228" i="25" s="1"/>
  <c r="AL228" i="25"/>
  <c r="S228" i="25"/>
  <c r="K228" i="25" s="1"/>
  <c r="H203" i="25"/>
  <c r="AH203" i="25" s="1"/>
  <c r="AL203" i="25"/>
  <c r="S203" i="25"/>
  <c r="K203" i="25" s="1"/>
  <c r="H242" i="25"/>
  <c r="AH242" i="25" s="1"/>
  <c r="AL242" i="25"/>
  <c r="S242" i="25"/>
  <c r="K242" i="25" s="1"/>
  <c r="H258" i="25"/>
  <c r="AH258" i="25" s="1"/>
  <c r="AL258" i="25"/>
  <c r="S258" i="25"/>
  <c r="K258" i="25" s="1"/>
  <c r="H291" i="25"/>
  <c r="AH291" i="25" s="1"/>
  <c r="AL291" i="25"/>
  <c r="S291" i="25"/>
  <c r="K291" i="25" s="1"/>
  <c r="AL208" i="25"/>
  <c r="H208" i="25"/>
  <c r="AH208" i="25" s="1"/>
  <c r="S208" i="25"/>
  <c r="K208" i="25" s="1"/>
  <c r="H245" i="25"/>
  <c r="AH245" i="25" s="1"/>
  <c r="AL245" i="25"/>
  <c r="S245" i="25"/>
  <c r="K245" i="25" s="1"/>
  <c r="H261" i="25"/>
  <c r="AH261" i="25" s="1"/>
  <c r="AL261" i="25"/>
  <c r="S261" i="25"/>
  <c r="K261" i="25" s="1"/>
  <c r="AL272" i="25"/>
  <c r="H272" i="25"/>
  <c r="AH272" i="25" s="1"/>
  <c r="S272" i="25"/>
  <c r="K272" i="25" s="1"/>
  <c r="H281" i="25"/>
  <c r="AH281" i="25" s="1"/>
  <c r="AL281" i="25"/>
  <c r="S281" i="25"/>
  <c r="K281" i="25" s="1"/>
  <c r="H297" i="25"/>
  <c r="AH297" i="25" s="1"/>
  <c r="AL297" i="25"/>
  <c r="S297" i="25"/>
  <c r="K297" i="25" s="1"/>
  <c r="H288" i="25"/>
  <c r="AH288" i="25" s="1"/>
  <c r="AL288" i="25"/>
  <c r="S288" i="25"/>
  <c r="K288" i="25" s="1"/>
  <c r="AL305" i="25"/>
  <c r="H305" i="25"/>
  <c r="AH305" i="25" s="1"/>
  <c r="S305" i="25"/>
  <c r="K305" i="25" s="1"/>
  <c r="AL301" i="25"/>
  <c r="H301" i="25"/>
  <c r="AH301" i="25" s="1"/>
  <c r="S301" i="25"/>
  <c r="K301" i="25" s="1"/>
  <c r="AL306" i="25"/>
  <c r="H306" i="25"/>
  <c r="AH306" i="25" s="1"/>
  <c r="S306" i="25"/>
  <c r="K306" i="25" s="1"/>
  <c r="AL22" i="25"/>
  <c r="H22" i="25"/>
  <c r="AH22" i="25" s="1"/>
  <c r="S22" i="25"/>
  <c r="K22" i="25" s="1"/>
  <c r="AL35" i="25"/>
  <c r="H35" i="25"/>
  <c r="AH35" i="25" s="1"/>
  <c r="S35" i="25"/>
  <c r="K35" i="25" s="1"/>
  <c r="AL42" i="25"/>
  <c r="H42" i="25"/>
  <c r="AH42" i="25" s="1"/>
  <c r="S42" i="25"/>
  <c r="K42" i="25" s="1"/>
  <c r="AL21" i="25"/>
  <c r="H21" i="25"/>
  <c r="AH21" i="25" s="1"/>
  <c r="S21" i="25"/>
  <c r="K21" i="25" s="1"/>
  <c r="AL69" i="25"/>
  <c r="H69" i="25"/>
  <c r="AH69" i="25" s="1"/>
  <c r="S69" i="25"/>
  <c r="K69" i="25" s="1"/>
  <c r="AL12" i="25"/>
  <c r="H12" i="25"/>
  <c r="AH12" i="25" s="1"/>
  <c r="S12" i="25"/>
  <c r="K12" i="25" s="1"/>
  <c r="AL28" i="25"/>
  <c r="H28" i="25"/>
  <c r="AH28" i="25" s="1"/>
  <c r="S28" i="25"/>
  <c r="K28" i="25" s="1"/>
  <c r="AL48" i="25"/>
  <c r="H48" i="25"/>
  <c r="AH48" i="25" s="1"/>
  <c r="S48" i="25"/>
  <c r="K48" i="25" s="1"/>
  <c r="AL64" i="25"/>
  <c r="H64" i="25"/>
  <c r="AH64" i="25" s="1"/>
  <c r="S64" i="25"/>
  <c r="K64" i="25" s="1"/>
  <c r="AL80" i="25"/>
  <c r="H80" i="25"/>
  <c r="AH80" i="25" s="1"/>
  <c r="S80" i="25"/>
  <c r="K80" i="25" s="1"/>
  <c r="AL62" i="25"/>
  <c r="H62" i="25"/>
  <c r="AH62" i="25" s="1"/>
  <c r="S62" i="25"/>
  <c r="K62" i="25" s="1"/>
  <c r="AL78" i="25"/>
  <c r="H78" i="25"/>
  <c r="AH78" i="25" s="1"/>
  <c r="S78" i="25"/>
  <c r="K78" i="25" s="1"/>
  <c r="AL112" i="25"/>
  <c r="H112" i="25"/>
  <c r="AH112" i="25" s="1"/>
  <c r="S112" i="25"/>
  <c r="K112" i="25" s="1"/>
  <c r="AL6" i="25"/>
  <c r="BO6" i="25"/>
  <c r="H6" i="25"/>
  <c r="AH6" i="25" s="1"/>
  <c r="S6" i="25"/>
  <c r="K6" i="25" s="1"/>
  <c r="H10" i="25"/>
  <c r="AH10" i="25" s="1"/>
  <c r="AL10" i="25"/>
  <c r="S10" i="25"/>
  <c r="K10" i="25" s="1"/>
  <c r="AL25" i="25"/>
  <c r="H25" i="25"/>
  <c r="AH25" i="25" s="1"/>
  <c r="S25" i="25"/>
  <c r="K25" i="25" s="1"/>
  <c r="AL57" i="25"/>
  <c r="H57" i="25"/>
  <c r="AH57" i="25" s="1"/>
  <c r="S57" i="25"/>
  <c r="K57" i="25" s="1"/>
  <c r="AL77" i="25"/>
  <c r="H77" i="25"/>
  <c r="AH77" i="25" s="1"/>
  <c r="S77" i="25"/>
  <c r="K77" i="25" s="1"/>
  <c r="H125" i="25"/>
  <c r="AH125" i="25" s="1"/>
  <c r="AL125" i="25"/>
  <c r="S125" i="25"/>
  <c r="K125" i="25" s="1"/>
  <c r="AL27" i="25"/>
  <c r="H27" i="25"/>
  <c r="AH27" i="25" s="1"/>
  <c r="S27" i="25"/>
  <c r="K27" i="25" s="1"/>
  <c r="AL47" i="25"/>
  <c r="H47" i="25"/>
  <c r="AH47" i="25" s="1"/>
  <c r="S47" i="25"/>
  <c r="K47" i="25" s="1"/>
  <c r="AL63" i="25"/>
  <c r="H63" i="25"/>
  <c r="AH63" i="25" s="1"/>
  <c r="S63" i="25"/>
  <c r="K63" i="25" s="1"/>
  <c r="AL79" i="25"/>
  <c r="H79" i="25"/>
  <c r="AH79" i="25" s="1"/>
  <c r="S79" i="25"/>
  <c r="K79" i="25" s="1"/>
  <c r="H114" i="25"/>
  <c r="AH114" i="25" s="1"/>
  <c r="AL114" i="25"/>
  <c r="S114" i="25"/>
  <c r="K114" i="25" s="1"/>
  <c r="H218" i="25"/>
  <c r="AH218" i="25" s="1"/>
  <c r="AL218" i="25"/>
  <c r="S218" i="25"/>
  <c r="K218" i="25" s="1"/>
  <c r="H226" i="25"/>
  <c r="AH226" i="25" s="1"/>
  <c r="AL226" i="25"/>
  <c r="S226" i="25"/>
  <c r="K226" i="25" s="1"/>
  <c r="AL269" i="25"/>
  <c r="H269" i="25"/>
  <c r="AH269" i="25" s="1"/>
  <c r="S269" i="25"/>
  <c r="K269" i="25" s="1"/>
  <c r="AL91" i="25"/>
  <c r="H91" i="25"/>
  <c r="AH91" i="25" s="1"/>
  <c r="S91" i="25"/>
  <c r="K91" i="25" s="1"/>
  <c r="AL95" i="25"/>
  <c r="H95" i="25"/>
  <c r="AH95" i="25" s="1"/>
  <c r="S95" i="25"/>
  <c r="K95" i="25" s="1"/>
  <c r="AL99" i="25"/>
  <c r="H99" i="25"/>
  <c r="AH99" i="25" s="1"/>
  <c r="S99" i="25"/>
  <c r="K99" i="25" s="1"/>
  <c r="AL103" i="25"/>
  <c r="H103" i="25"/>
  <c r="AH103" i="25" s="1"/>
  <c r="S103" i="25"/>
  <c r="K103" i="25" s="1"/>
  <c r="AL115" i="25"/>
  <c r="H115" i="25"/>
  <c r="AH115" i="25" s="1"/>
  <c r="S115" i="25"/>
  <c r="K115" i="25" s="1"/>
  <c r="AL128" i="25"/>
  <c r="H128" i="25"/>
  <c r="AH128" i="25" s="1"/>
  <c r="S128" i="25"/>
  <c r="K128" i="25" s="1"/>
  <c r="AL136" i="25"/>
  <c r="H136" i="25"/>
  <c r="AH136" i="25" s="1"/>
  <c r="S136" i="25"/>
  <c r="K136" i="25" s="1"/>
  <c r="AL144" i="25"/>
  <c r="H144" i="25"/>
  <c r="AH144" i="25" s="1"/>
  <c r="S144" i="25"/>
  <c r="K144" i="25" s="1"/>
  <c r="AL152" i="25"/>
  <c r="H152" i="25"/>
  <c r="AH152" i="25" s="1"/>
  <c r="S152" i="25"/>
  <c r="K152" i="25" s="1"/>
  <c r="AL160" i="25"/>
  <c r="H160" i="25"/>
  <c r="AH160" i="25" s="1"/>
  <c r="S160" i="25"/>
  <c r="K160" i="25" s="1"/>
  <c r="AL168" i="25"/>
  <c r="H168" i="25"/>
  <c r="AH168" i="25" s="1"/>
  <c r="S168" i="25"/>
  <c r="K168" i="25" s="1"/>
  <c r="AL176" i="25"/>
  <c r="H176" i="25"/>
  <c r="AH176" i="25" s="1"/>
  <c r="S176" i="25"/>
  <c r="K176" i="25" s="1"/>
  <c r="AL184" i="25"/>
  <c r="H184" i="25"/>
  <c r="AH184" i="25" s="1"/>
  <c r="S184" i="25"/>
  <c r="K184" i="25" s="1"/>
  <c r="AL192" i="25"/>
  <c r="H192" i="25"/>
  <c r="AH192" i="25" s="1"/>
  <c r="S192" i="25"/>
  <c r="K192" i="25" s="1"/>
  <c r="H130" i="25"/>
  <c r="AH130" i="25" s="1"/>
  <c r="AL130" i="25"/>
  <c r="S130" i="25"/>
  <c r="K130" i="25" s="1"/>
  <c r="H146" i="25"/>
  <c r="AH146" i="25" s="1"/>
  <c r="AL146" i="25"/>
  <c r="S146" i="25"/>
  <c r="K146" i="25" s="1"/>
  <c r="H162" i="25"/>
  <c r="AH162" i="25" s="1"/>
  <c r="AL162" i="25"/>
  <c r="S162" i="25"/>
  <c r="K162" i="25" s="1"/>
  <c r="H178" i="25"/>
  <c r="AH178" i="25" s="1"/>
  <c r="AL178" i="25"/>
  <c r="S178" i="25"/>
  <c r="K178" i="25" s="1"/>
  <c r="H194" i="25"/>
  <c r="AH194" i="25" s="1"/>
  <c r="AL194" i="25"/>
  <c r="S194" i="25"/>
  <c r="K194" i="25" s="1"/>
  <c r="H225" i="25"/>
  <c r="AH225" i="25" s="1"/>
  <c r="AL225" i="25"/>
  <c r="S225" i="25"/>
  <c r="K225" i="25" s="1"/>
  <c r="H236" i="25"/>
  <c r="AH236" i="25" s="1"/>
  <c r="AL236" i="25"/>
  <c r="S236" i="25"/>
  <c r="K236" i="25" s="1"/>
  <c r="H244" i="25"/>
  <c r="AH244" i="25" s="1"/>
  <c r="AL244" i="25"/>
  <c r="S244" i="25"/>
  <c r="K244" i="25" s="1"/>
  <c r="H252" i="25"/>
  <c r="AH252" i="25" s="1"/>
  <c r="AL252" i="25"/>
  <c r="S252" i="25"/>
  <c r="K252" i="25" s="1"/>
  <c r="H260" i="25"/>
  <c r="AH260" i="25" s="1"/>
  <c r="AL260" i="25"/>
  <c r="S260" i="25"/>
  <c r="K260" i="25" s="1"/>
  <c r="AL268" i="25"/>
  <c r="H268" i="25"/>
  <c r="AH268" i="25" s="1"/>
  <c r="S268" i="25"/>
  <c r="K268" i="25" s="1"/>
  <c r="H287" i="25"/>
  <c r="AH287" i="25" s="1"/>
  <c r="AL287" i="25"/>
  <c r="S287" i="25"/>
  <c r="K287" i="25" s="1"/>
  <c r="AL143" i="25"/>
  <c r="H143" i="25"/>
  <c r="AH143" i="25" s="1"/>
  <c r="S143" i="25"/>
  <c r="K143" i="25" s="1"/>
  <c r="AL159" i="25"/>
  <c r="H159" i="25"/>
  <c r="AH159" i="25" s="1"/>
  <c r="S159" i="25"/>
  <c r="K159" i="25" s="1"/>
  <c r="AL175" i="25"/>
  <c r="H175" i="25"/>
  <c r="AH175" i="25" s="1"/>
  <c r="S175" i="25"/>
  <c r="K175" i="25" s="1"/>
  <c r="AL191" i="25"/>
  <c r="H191" i="25"/>
  <c r="AH191" i="25" s="1"/>
  <c r="S191" i="25"/>
  <c r="K191" i="25" s="1"/>
  <c r="H202" i="25"/>
  <c r="AH202" i="25" s="1"/>
  <c r="AL202" i="25"/>
  <c r="S202" i="25"/>
  <c r="K202" i="25" s="1"/>
  <c r="H210" i="25"/>
  <c r="AH210" i="25" s="1"/>
  <c r="AL210" i="25"/>
  <c r="S210" i="25"/>
  <c r="K210" i="25" s="1"/>
  <c r="H282" i="25"/>
  <c r="AH282" i="25" s="1"/>
  <c r="AL282" i="25"/>
  <c r="S282" i="25"/>
  <c r="K282" i="25" s="1"/>
  <c r="H207" i="25"/>
  <c r="AH207" i="25" s="1"/>
  <c r="AL207" i="25"/>
  <c r="S207" i="25"/>
  <c r="K207" i="25" s="1"/>
  <c r="H246" i="25"/>
  <c r="AH246" i="25" s="1"/>
  <c r="AL246" i="25"/>
  <c r="S246" i="25"/>
  <c r="K246" i="25" s="1"/>
  <c r="H262" i="25"/>
  <c r="AH262" i="25" s="1"/>
  <c r="AL262" i="25"/>
  <c r="S262" i="25"/>
  <c r="K262" i="25" s="1"/>
  <c r="AL299" i="25"/>
  <c r="H299" i="25"/>
  <c r="AH299" i="25" s="1"/>
  <c r="S299" i="25"/>
  <c r="K299" i="25" s="1"/>
  <c r="H233" i="25"/>
  <c r="AH233" i="25" s="1"/>
  <c r="AL233" i="25"/>
  <c r="S233" i="25"/>
  <c r="K233" i="25" s="1"/>
  <c r="H249" i="25"/>
  <c r="AH249" i="25" s="1"/>
  <c r="AL249" i="25"/>
  <c r="S249" i="25"/>
  <c r="K249" i="25" s="1"/>
  <c r="H265" i="25"/>
  <c r="AH265" i="25" s="1"/>
  <c r="AL265" i="25"/>
  <c r="S265" i="25"/>
  <c r="K265" i="25" s="1"/>
  <c r="AL276" i="25"/>
  <c r="H276" i="25"/>
  <c r="AH276" i="25" s="1"/>
  <c r="S276" i="25"/>
  <c r="K276" i="25" s="1"/>
  <c r="AL271" i="25"/>
  <c r="H271" i="25"/>
  <c r="AH271" i="25" s="1"/>
  <c r="S271" i="25"/>
  <c r="K271" i="25" s="1"/>
  <c r="H285" i="25"/>
  <c r="AH285" i="25" s="1"/>
  <c r="AL285" i="25"/>
  <c r="S285" i="25"/>
  <c r="K285" i="25" s="1"/>
  <c r="AL312" i="25"/>
  <c r="H312" i="25"/>
  <c r="AH312" i="25" s="1"/>
  <c r="S312" i="25"/>
  <c r="K312" i="25" s="1"/>
  <c r="H292" i="25"/>
  <c r="AH292" i="25" s="1"/>
  <c r="AL292" i="25"/>
  <c r="S292" i="25"/>
  <c r="K292" i="25" s="1"/>
  <c r="AL307" i="25"/>
  <c r="H307" i="25"/>
  <c r="AH307" i="25" s="1"/>
  <c r="S307" i="25"/>
  <c r="K307" i="25" s="1"/>
  <c r="AL302" i="25"/>
  <c r="H302" i="25"/>
  <c r="AH302" i="25" s="1"/>
  <c r="S302" i="25"/>
  <c r="K302" i="25" s="1"/>
  <c r="AL310" i="25"/>
  <c r="H310" i="25"/>
  <c r="AH310" i="25" s="1"/>
  <c r="S310" i="25"/>
  <c r="K310" i="25" s="1"/>
  <c r="AL26" i="25"/>
  <c r="H26" i="25"/>
  <c r="AH26" i="25" s="1"/>
  <c r="S26" i="25"/>
  <c r="K26" i="25" s="1"/>
  <c r="AL36" i="25"/>
  <c r="H36" i="25"/>
  <c r="AH36" i="25" s="1"/>
  <c r="S36" i="25"/>
  <c r="K36" i="25" s="1"/>
  <c r="AL46" i="25"/>
  <c r="H46" i="25"/>
  <c r="AH46" i="25" s="1"/>
  <c r="S46" i="25"/>
  <c r="K46" i="25" s="1"/>
  <c r="AL41" i="25"/>
  <c r="H41" i="25"/>
  <c r="AH41" i="25" s="1"/>
  <c r="S41" i="25"/>
  <c r="K41" i="25" s="1"/>
  <c r="AL81" i="25"/>
  <c r="H81" i="25"/>
  <c r="AH81" i="25" s="1"/>
  <c r="S81" i="25"/>
  <c r="K81" i="25" s="1"/>
  <c r="AL16" i="25"/>
  <c r="H16" i="25"/>
  <c r="AH16" i="25" s="1"/>
  <c r="S16" i="25"/>
  <c r="K16" i="25" s="1"/>
  <c r="AL32" i="25"/>
  <c r="H32" i="25"/>
  <c r="AH32" i="25" s="1"/>
  <c r="S32" i="25"/>
  <c r="K32" i="25" s="1"/>
  <c r="AL52" i="25"/>
  <c r="H52" i="25"/>
  <c r="AH52" i="25" s="1"/>
  <c r="S52" i="25"/>
  <c r="K52" i="25" s="1"/>
  <c r="AL68" i="25"/>
  <c r="H68" i="25"/>
  <c r="AH68" i="25" s="1"/>
  <c r="S68" i="25"/>
  <c r="K68" i="25" s="1"/>
  <c r="AL84" i="25"/>
  <c r="H84" i="25"/>
  <c r="AH84" i="25" s="1"/>
  <c r="S84" i="25"/>
  <c r="K84" i="25" s="1"/>
  <c r="AL66" i="25"/>
  <c r="H66" i="25"/>
  <c r="AH66" i="25" s="1"/>
  <c r="S66" i="25"/>
  <c r="K66" i="25" s="1"/>
  <c r="AL82" i="25"/>
  <c r="H82" i="25"/>
  <c r="AH82" i="25" s="1"/>
  <c r="S82" i="25"/>
  <c r="K82" i="25" s="1"/>
  <c r="AL116" i="25"/>
  <c r="H116" i="25"/>
  <c r="AH116" i="25" s="1"/>
  <c r="S116" i="25"/>
  <c r="K116" i="25" s="1"/>
  <c r="BO7" i="25"/>
  <c r="H7" i="25"/>
  <c r="AH7" i="25" s="1"/>
  <c r="AL7" i="25"/>
  <c r="S7" i="25"/>
  <c r="K7" i="25" s="1"/>
  <c r="H11" i="25"/>
  <c r="AH11" i="25" s="1"/>
  <c r="AL11" i="25"/>
  <c r="S11" i="25"/>
  <c r="K11" i="25" s="1"/>
  <c r="AL29" i="25"/>
  <c r="H29" i="25"/>
  <c r="AH29" i="25" s="1"/>
  <c r="S29" i="25"/>
  <c r="K29" i="25" s="1"/>
  <c r="AL61" i="25"/>
  <c r="H61" i="25"/>
  <c r="AH61" i="25" s="1"/>
  <c r="S61" i="25"/>
  <c r="K61" i="25" s="1"/>
  <c r="AL85" i="25"/>
  <c r="H85" i="25"/>
  <c r="AH85" i="25" s="1"/>
  <c r="S85" i="25"/>
  <c r="K85" i="25" s="1"/>
  <c r="AL15" i="25"/>
  <c r="H15" i="25"/>
  <c r="AH15" i="25" s="1"/>
  <c r="S15" i="25"/>
  <c r="K15" i="25" s="1"/>
  <c r="AL31" i="25"/>
  <c r="H31" i="25"/>
  <c r="AH31" i="25" s="1"/>
  <c r="S31" i="25"/>
  <c r="K31" i="25" s="1"/>
  <c r="AL51" i="25"/>
  <c r="H51" i="25"/>
  <c r="AH51" i="25" s="1"/>
  <c r="S51" i="25"/>
  <c r="K51" i="25" s="1"/>
  <c r="AL67" i="25"/>
  <c r="H67" i="25"/>
  <c r="AH67" i="25" s="1"/>
  <c r="S67" i="25"/>
  <c r="K67" i="25" s="1"/>
  <c r="AL83" i="25"/>
  <c r="H83" i="25"/>
  <c r="AH83" i="25" s="1"/>
  <c r="S83" i="25"/>
  <c r="K83" i="25" s="1"/>
  <c r="H118" i="25"/>
  <c r="AH118" i="25" s="1"/>
  <c r="AL118" i="25"/>
  <c r="S118" i="25"/>
  <c r="K118" i="25" s="1"/>
  <c r="H219" i="25"/>
  <c r="AH219" i="25" s="1"/>
  <c r="AL219" i="25"/>
  <c r="S219" i="25"/>
  <c r="K219" i="25" s="1"/>
  <c r="H227" i="25"/>
  <c r="AH227" i="25" s="1"/>
  <c r="AL227" i="25"/>
  <c r="S227" i="25"/>
  <c r="K227" i="25" s="1"/>
  <c r="AL273" i="25"/>
  <c r="H273" i="25"/>
  <c r="AH273" i="25" s="1"/>
  <c r="S273" i="25"/>
  <c r="K273" i="25" s="1"/>
  <c r="AL92" i="25"/>
  <c r="H92" i="25"/>
  <c r="AH92" i="25" s="1"/>
  <c r="S92" i="25"/>
  <c r="K92" i="25" s="1"/>
  <c r="AL96" i="25"/>
  <c r="H96" i="25"/>
  <c r="AH96" i="25" s="1"/>
  <c r="S96" i="25"/>
  <c r="K96" i="25" s="1"/>
  <c r="AL100" i="25"/>
  <c r="H100" i="25"/>
  <c r="AH100" i="25" s="1"/>
  <c r="S100" i="25"/>
  <c r="K100" i="25" s="1"/>
  <c r="AL104" i="25"/>
  <c r="H104" i="25"/>
  <c r="AH104" i="25" s="1"/>
  <c r="S104" i="25"/>
  <c r="K104" i="25" s="1"/>
  <c r="AL119" i="25"/>
  <c r="H119" i="25"/>
  <c r="AH119" i="25" s="1"/>
  <c r="S119" i="25"/>
  <c r="K119" i="25" s="1"/>
  <c r="H129" i="25"/>
  <c r="AH129" i="25" s="1"/>
  <c r="AL129" i="25"/>
  <c r="S129" i="25"/>
  <c r="K129" i="25" s="1"/>
  <c r="H137" i="25"/>
  <c r="AH137" i="25" s="1"/>
  <c r="AL137" i="25"/>
  <c r="S137" i="25"/>
  <c r="K137" i="25" s="1"/>
  <c r="H145" i="25"/>
  <c r="AH145" i="25" s="1"/>
  <c r="AL145" i="25"/>
  <c r="S145" i="25"/>
  <c r="K145" i="25" s="1"/>
  <c r="H153" i="25"/>
  <c r="AH153" i="25" s="1"/>
  <c r="AL153" i="25"/>
  <c r="S153" i="25"/>
  <c r="K153" i="25" s="1"/>
  <c r="H161" i="25"/>
  <c r="AH161" i="25" s="1"/>
  <c r="AL161" i="25"/>
  <c r="S161" i="25"/>
  <c r="K161" i="25" s="1"/>
  <c r="H169" i="25"/>
  <c r="AH169" i="25" s="1"/>
  <c r="AL169" i="25"/>
  <c r="S169" i="25"/>
  <c r="K169" i="25" s="1"/>
  <c r="H177" i="25"/>
  <c r="AH177" i="25" s="1"/>
  <c r="AL177" i="25"/>
  <c r="S177" i="25"/>
  <c r="K177" i="25" s="1"/>
  <c r="H185" i="25"/>
  <c r="AH185" i="25" s="1"/>
  <c r="AL185" i="25"/>
  <c r="S185" i="25"/>
  <c r="K185" i="25" s="1"/>
  <c r="H193" i="25"/>
  <c r="AH193" i="25" s="1"/>
  <c r="AL193" i="25"/>
  <c r="S193" i="25"/>
  <c r="K193" i="25" s="1"/>
  <c r="H134" i="25"/>
  <c r="AH134" i="25" s="1"/>
  <c r="AL134" i="25"/>
  <c r="S134" i="25"/>
  <c r="K134" i="25" s="1"/>
  <c r="H150" i="25"/>
  <c r="AH150" i="25" s="1"/>
  <c r="AL150" i="25"/>
  <c r="S150" i="25"/>
  <c r="K150" i="25" s="1"/>
  <c r="H166" i="25"/>
  <c r="AH166" i="25" s="1"/>
  <c r="AL166" i="25"/>
  <c r="S166" i="25"/>
  <c r="K166" i="25" s="1"/>
  <c r="H182" i="25"/>
  <c r="AH182" i="25" s="1"/>
  <c r="AL182" i="25"/>
  <c r="S182" i="25"/>
  <c r="K182" i="25" s="1"/>
  <c r="H198" i="25"/>
  <c r="AH198" i="25" s="1"/>
  <c r="AL198" i="25"/>
  <c r="S198" i="25"/>
  <c r="K198" i="25" s="1"/>
  <c r="H229" i="25"/>
  <c r="AH229" i="25" s="1"/>
  <c r="AL229" i="25"/>
  <c r="S229" i="25"/>
  <c r="K229" i="25" s="1"/>
  <c r="H239" i="25"/>
  <c r="AH239" i="25" s="1"/>
  <c r="AL239" i="25"/>
  <c r="S239" i="25"/>
  <c r="K239" i="25" s="1"/>
  <c r="H247" i="25"/>
  <c r="AH247" i="25" s="1"/>
  <c r="AL247" i="25"/>
  <c r="S247" i="25"/>
  <c r="K247" i="25" s="1"/>
  <c r="H255" i="25"/>
  <c r="AH255" i="25" s="1"/>
  <c r="AL255" i="25"/>
  <c r="S255" i="25"/>
  <c r="K255" i="25" s="1"/>
  <c r="H263" i="25"/>
  <c r="AH263" i="25" s="1"/>
  <c r="AL263" i="25"/>
  <c r="S263" i="25"/>
  <c r="K263" i="25" s="1"/>
  <c r="AL270" i="25"/>
  <c r="H270" i="25"/>
  <c r="AH270" i="25" s="1"/>
  <c r="S270" i="25"/>
  <c r="K270" i="25" s="1"/>
  <c r="AL131" i="25"/>
  <c r="H131" i="25"/>
  <c r="AH131" i="25" s="1"/>
  <c r="S131" i="25"/>
  <c r="K131" i="25" s="1"/>
  <c r="AL147" i="25"/>
  <c r="H147" i="25"/>
  <c r="AH147" i="25" s="1"/>
  <c r="S147" i="25"/>
  <c r="K147" i="25" s="1"/>
  <c r="AL163" i="25"/>
  <c r="H163" i="25"/>
  <c r="AH163" i="25" s="1"/>
  <c r="S163" i="25"/>
  <c r="K163" i="25" s="1"/>
  <c r="AL179" i="25"/>
  <c r="H179" i="25"/>
  <c r="AH179" i="25" s="1"/>
  <c r="S179" i="25"/>
  <c r="K179" i="25" s="1"/>
  <c r="AL195" i="25"/>
  <c r="H195" i="25"/>
  <c r="AH195" i="25" s="1"/>
  <c r="S195" i="25"/>
  <c r="K195" i="25" s="1"/>
  <c r="AL205" i="25"/>
  <c r="H205" i="25"/>
  <c r="AH205" i="25" s="1"/>
  <c r="S205" i="25"/>
  <c r="K205" i="25" s="1"/>
  <c r="H220" i="25"/>
  <c r="AH220" i="25" s="1"/>
  <c r="AL220" i="25"/>
  <c r="S220" i="25"/>
  <c r="K220" i="25" s="1"/>
  <c r="H298" i="25"/>
  <c r="AH298" i="25" s="1"/>
  <c r="AL298" i="25"/>
  <c r="S298" i="25"/>
  <c r="K298" i="25" s="1"/>
  <c r="H234" i="25"/>
  <c r="AH234" i="25" s="1"/>
  <c r="AL234" i="25"/>
  <c r="S234" i="25"/>
  <c r="K234" i="25" s="1"/>
  <c r="H250" i="25"/>
  <c r="AH250" i="25" s="1"/>
  <c r="AL250" i="25"/>
  <c r="S250" i="25"/>
  <c r="K250" i="25" s="1"/>
  <c r="H266" i="25"/>
  <c r="AH266" i="25" s="1"/>
  <c r="AL266" i="25"/>
  <c r="S266" i="25"/>
  <c r="K266" i="25" s="1"/>
  <c r="AL200" i="25"/>
  <c r="H200" i="25"/>
  <c r="AH200" i="25" s="1"/>
  <c r="S200" i="25"/>
  <c r="K200" i="25" s="1"/>
  <c r="H237" i="25"/>
  <c r="AH237" i="25" s="1"/>
  <c r="AL237" i="25"/>
  <c r="S237" i="25"/>
  <c r="K237" i="25" s="1"/>
  <c r="H253" i="25"/>
  <c r="AH253" i="25" s="1"/>
  <c r="AL253" i="25"/>
  <c r="S253" i="25"/>
  <c r="K253" i="25" s="1"/>
  <c r="H286" i="25"/>
  <c r="AH286" i="25" s="1"/>
  <c r="AL286" i="25"/>
  <c r="S286" i="25"/>
  <c r="K286" i="25" s="1"/>
  <c r="AL280" i="25"/>
  <c r="H280" i="25"/>
  <c r="AH280" i="25" s="1"/>
  <c r="S280" i="25"/>
  <c r="K280" i="25" s="1"/>
  <c r="AL275" i="25"/>
  <c r="H275" i="25"/>
  <c r="AH275" i="25" s="1"/>
  <c r="S275" i="25"/>
  <c r="K275" i="25" s="1"/>
  <c r="H289" i="25"/>
  <c r="AH289" i="25" s="1"/>
  <c r="AL289" i="25"/>
  <c r="S289" i="25"/>
  <c r="K289" i="25" s="1"/>
  <c r="AL313" i="25"/>
  <c r="H313" i="25"/>
  <c r="AH313" i="25" s="1"/>
  <c r="S313" i="25"/>
  <c r="K313" i="25" s="1"/>
  <c r="H296" i="25"/>
  <c r="AH296" i="25" s="1"/>
  <c r="AL296" i="25"/>
  <c r="S296" i="25"/>
  <c r="K296" i="25" s="1"/>
  <c r="AL311" i="25"/>
  <c r="H311" i="25"/>
  <c r="AH311" i="25" s="1"/>
  <c r="S311" i="25"/>
  <c r="K311" i="25" s="1"/>
  <c r="AL303" i="25"/>
  <c r="H303" i="25"/>
  <c r="AH303" i="25" s="1"/>
  <c r="S303" i="25"/>
  <c r="K303" i="25" s="1"/>
  <c r="AL314" i="25"/>
  <c r="H314" i="25"/>
  <c r="AH314" i="25" s="1"/>
  <c r="S314" i="25"/>
  <c r="K314" i="25" s="1"/>
  <c r="B37" i="2"/>
  <c r="B35" i="2"/>
  <c r="J67" i="23"/>
  <c r="L67" i="23" s="1"/>
  <c r="G71" i="23"/>
  <c r="H71" i="23" s="1"/>
  <c r="G17" i="23"/>
  <c r="H17" i="23" s="1"/>
  <c r="G32" i="23"/>
  <c r="H32" i="23" s="1"/>
  <c r="G54" i="23"/>
  <c r="H54" i="23" s="1"/>
  <c r="G101" i="23"/>
  <c r="H101" i="23" s="1"/>
  <c r="G30" i="23"/>
  <c r="H30" i="23" s="1"/>
  <c r="G51" i="23"/>
  <c r="H51" i="23" s="1"/>
  <c r="J103" i="23"/>
  <c r="K103" i="23" s="1"/>
  <c r="G25" i="23"/>
  <c r="H25" i="23" s="1"/>
  <c r="G80" i="23"/>
  <c r="H80" i="23" s="1"/>
  <c r="G21" i="23"/>
  <c r="H21" i="23" s="1"/>
  <c r="G105" i="23"/>
  <c r="H105" i="23" s="1"/>
  <c r="J63" i="23"/>
  <c r="L63" i="23" s="1"/>
  <c r="J88" i="23"/>
  <c r="K88" i="23" s="1"/>
  <c r="J49" i="23"/>
  <c r="K49" i="23" s="1"/>
  <c r="G92" i="23"/>
  <c r="H92" i="23" s="1"/>
  <c r="G22" i="23"/>
  <c r="H22" i="23" s="1"/>
  <c r="J20" i="23"/>
  <c r="L20" i="23" s="1"/>
  <c r="G53" i="23"/>
  <c r="H53" i="23" s="1"/>
  <c r="G73" i="23"/>
  <c r="H73" i="23" s="1"/>
  <c r="G46" i="23"/>
  <c r="H46" i="23" s="1"/>
  <c r="G6" i="23"/>
  <c r="H6" i="23" s="1"/>
  <c r="G94" i="23"/>
  <c r="H94" i="23" s="1"/>
  <c r="G90" i="23"/>
  <c r="H90" i="23" s="1"/>
  <c r="G14" i="23"/>
  <c r="H14" i="23" s="1"/>
  <c r="J60" i="23"/>
  <c r="K60" i="23" s="1"/>
  <c r="J10" i="8"/>
  <c r="B163" i="2" s="1"/>
  <c r="B227" i="2" s="1"/>
  <c r="J84" i="23"/>
  <c r="L84" i="23" s="1"/>
  <c r="G81" i="23"/>
  <c r="H81" i="23" s="1"/>
  <c r="H187" i="24"/>
  <c r="AM187" i="24"/>
  <c r="H125" i="24"/>
  <c r="AM125" i="24"/>
  <c r="H294" i="24"/>
  <c r="AM294" i="24"/>
  <c r="AM242" i="24"/>
  <c r="H242" i="24"/>
  <c r="AM174" i="24"/>
  <c r="H174" i="24"/>
  <c r="H142" i="24"/>
  <c r="AM142" i="24"/>
  <c r="H297" i="24"/>
  <c r="AM297" i="24"/>
  <c r="H265" i="24"/>
  <c r="AM265" i="24"/>
  <c r="H183" i="24"/>
  <c r="AM183" i="24"/>
  <c r="H254" i="24"/>
  <c r="AM254" i="24"/>
  <c r="AM197" i="24"/>
  <c r="H197" i="24"/>
  <c r="AM137" i="24"/>
  <c r="H137" i="24"/>
  <c r="H292" i="24"/>
  <c r="AM292" i="24"/>
  <c r="H260" i="24"/>
  <c r="AM260" i="24"/>
  <c r="H228" i="24"/>
  <c r="AM228" i="24"/>
  <c r="H298" i="24"/>
  <c r="AM298" i="24"/>
  <c r="H128" i="24"/>
  <c r="AM128" i="24"/>
  <c r="H115" i="24"/>
  <c r="AM115" i="24"/>
  <c r="AM161" i="24"/>
  <c r="H161" i="24"/>
  <c r="AM204" i="24"/>
  <c r="H204" i="24"/>
  <c r="AM188" i="24"/>
  <c r="H188" i="24"/>
  <c r="AM156" i="24"/>
  <c r="H156" i="24"/>
  <c r="H295" i="24"/>
  <c r="AM295" i="24"/>
  <c r="H263" i="24"/>
  <c r="AM263" i="24"/>
  <c r="H247" i="24"/>
  <c r="AM247" i="24"/>
  <c r="H117" i="24"/>
  <c r="AM117" i="24"/>
  <c r="H195" i="24"/>
  <c r="AM195" i="24"/>
  <c r="H207" i="24"/>
  <c r="AM207" i="24"/>
  <c r="H147" i="24"/>
  <c r="AM147" i="24"/>
  <c r="H282" i="24"/>
  <c r="AM282" i="24"/>
  <c r="AM226" i="24"/>
  <c r="H226" i="24"/>
  <c r="H186" i="24"/>
  <c r="AM186" i="24"/>
  <c r="AM170" i="24"/>
  <c r="H170" i="24"/>
  <c r="H154" i="24"/>
  <c r="AM154" i="24"/>
  <c r="AM138" i="24"/>
  <c r="H138" i="24"/>
  <c r="AM309" i="24"/>
  <c r="H309" i="24"/>
  <c r="AM293" i="24"/>
  <c r="H293" i="24"/>
  <c r="H277" i="24"/>
  <c r="AM277" i="24"/>
  <c r="AM261" i="24"/>
  <c r="H261" i="24"/>
  <c r="H245" i="24"/>
  <c r="AM245" i="24"/>
  <c r="AM229" i="24"/>
  <c r="H229" i="24"/>
  <c r="AM167" i="24"/>
  <c r="H167" i="24"/>
  <c r="AM290" i="24"/>
  <c r="H290" i="24"/>
  <c r="AM238" i="24"/>
  <c r="H238" i="24"/>
  <c r="AM190" i="24"/>
  <c r="H190" i="24"/>
  <c r="AM185" i="24"/>
  <c r="H185" i="24"/>
  <c r="AM149" i="24"/>
  <c r="H149" i="24"/>
  <c r="H133" i="24"/>
  <c r="AM133" i="24"/>
  <c r="AM304" i="24"/>
  <c r="H304" i="24"/>
  <c r="AM288" i="24"/>
  <c r="H288" i="24"/>
  <c r="H272" i="24"/>
  <c r="AM272" i="24"/>
  <c r="AM256" i="24"/>
  <c r="H256" i="24"/>
  <c r="AM240" i="24"/>
  <c r="H240" i="24"/>
  <c r="AM224" i="24"/>
  <c r="H224" i="24"/>
  <c r="AM159" i="24"/>
  <c r="H159" i="24"/>
  <c r="AM217" i="24"/>
  <c r="H217" i="24"/>
  <c r="AM286" i="24"/>
  <c r="H286" i="24"/>
  <c r="H246" i="24"/>
  <c r="AM246" i="24"/>
  <c r="AM124" i="24"/>
  <c r="H124" i="24"/>
  <c r="H112" i="24"/>
  <c r="AM112" i="24"/>
  <c r="AM205" i="24"/>
  <c r="H205" i="24"/>
  <c r="AM181" i="24"/>
  <c r="H181" i="24"/>
  <c r="H157" i="24"/>
  <c r="AM157" i="24"/>
  <c r="AM118" i="24"/>
  <c r="H118" i="24"/>
  <c r="AM200" i="24"/>
  <c r="H200" i="24"/>
  <c r="AM184" i="24"/>
  <c r="H184" i="24"/>
  <c r="H168" i="24"/>
  <c r="AM168" i="24"/>
  <c r="H152" i="24"/>
  <c r="AM152" i="24"/>
  <c r="AM136" i="24"/>
  <c r="H136" i="24"/>
  <c r="AM307" i="24"/>
  <c r="H307" i="24"/>
  <c r="AM291" i="24"/>
  <c r="H291" i="24"/>
  <c r="AM275" i="24"/>
  <c r="H275" i="24"/>
  <c r="AM259" i="24"/>
  <c r="H259" i="24"/>
  <c r="AM243" i="24"/>
  <c r="H243" i="24"/>
  <c r="H227" i="24"/>
  <c r="AM227" i="24"/>
  <c r="AM113" i="24"/>
  <c r="H113" i="24"/>
  <c r="AM163" i="24"/>
  <c r="H163" i="24"/>
  <c r="H202" i="24"/>
  <c r="AM202" i="24"/>
  <c r="AM158" i="24"/>
  <c r="H158" i="24"/>
  <c r="AM313" i="24"/>
  <c r="H313" i="24"/>
  <c r="H281" i="24"/>
  <c r="AM281" i="24"/>
  <c r="AM249" i="24"/>
  <c r="H249" i="24"/>
  <c r="H233" i="24"/>
  <c r="AM233" i="24"/>
  <c r="H306" i="24"/>
  <c r="AM306" i="24"/>
  <c r="AM198" i="24"/>
  <c r="H198" i="24"/>
  <c r="H153" i="24"/>
  <c r="AM153" i="24"/>
  <c r="H308" i="24"/>
  <c r="AM308" i="24"/>
  <c r="AM276" i="24"/>
  <c r="H276" i="24"/>
  <c r="AM244" i="24"/>
  <c r="H244" i="24"/>
  <c r="AM171" i="24"/>
  <c r="H171" i="24"/>
  <c r="H135" i="24"/>
  <c r="AM135" i="24"/>
  <c r="H258" i="24"/>
  <c r="AM258" i="24"/>
  <c r="H194" i="24"/>
  <c r="AM194" i="24"/>
  <c r="H189" i="24"/>
  <c r="AM189" i="24"/>
  <c r="AM122" i="24"/>
  <c r="H122" i="24"/>
  <c r="H172" i="24"/>
  <c r="AM172" i="24"/>
  <c r="H140" i="24"/>
  <c r="AM140" i="24"/>
  <c r="AM311" i="24"/>
  <c r="H311" i="24"/>
  <c r="AM279" i="24"/>
  <c r="H279" i="24"/>
  <c r="AM231" i="24"/>
  <c r="H231" i="24"/>
  <c r="H199" i="24"/>
  <c r="AM199" i="24"/>
  <c r="AM121" i="24"/>
  <c r="H121" i="24"/>
  <c r="H191" i="24"/>
  <c r="AM191" i="24"/>
  <c r="H131" i="24"/>
  <c r="AM131" i="24"/>
  <c r="AM262" i="24"/>
  <c r="H262" i="24"/>
  <c r="AM111" i="24"/>
  <c r="H111" i="24"/>
  <c r="AM182" i="24"/>
  <c r="H182" i="24"/>
  <c r="H166" i="24"/>
  <c r="AM166" i="24"/>
  <c r="AM150" i="24"/>
  <c r="H150" i="24"/>
  <c r="H134" i="24"/>
  <c r="AM134" i="24"/>
  <c r="AM305" i="24"/>
  <c r="H305" i="24"/>
  <c r="H289" i="24"/>
  <c r="AM289" i="24"/>
  <c r="H273" i="24"/>
  <c r="AM273" i="24"/>
  <c r="H257" i="24"/>
  <c r="AM257" i="24"/>
  <c r="H241" i="24"/>
  <c r="AM241" i="24"/>
  <c r="AM225" i="24"/>
  <c r="H225" i="24"/>
  <c r="AM155" i="24"/>
  <c r="H155" i="24"/>
  <c r="H278" i="24"/>
  <c r="AM278" i="24"/>
  <c r="AM230" i="24"/>
  <c r="H230" i="24"/>
  <c r="AM123" i="24"/>
  <c r="H123" i="24"/>
  <c r="AM173" i="24"/>
  <c r="H173" i="24"/>
  <c r="AM145" i="24"/>
  <c r="H145" i="24"/>
  <c r="AM316" i="24"/>
  <c r="H316" i="24"/>
  <c r="H300" i="24"/>
  <c r="AM300" i="24"/>
  <c r="AM284" i="24"/>
  <c r="H284" i="24"/>
  <c r="AM268" i="24"/>
  <c r="H268" i="24"/>
  <c r="AM252" i="24"/>
  <c r="H252" i="24"/>
  <c r="AM236" i="24"/>
  <c r="H236" i="24"/>
  <c r="AM220" i="24"/>
  <c r="H220" i="24"/>
  <c r="H151" i="24"/>
  <c r="AM151" i="24"/>
  <c r="H314" i="24"/>
  <c r="AM314" i="24"/>
  <c r="H274" i="24"/>
  <c r="AM274" i="24"/>
  <c r="H234" i="24"/>
  <c r="AM234" i="24"/>
  <c r="H210" i="24"/>
  <c r="AM210" i="24"/>
  <c r="H127" i="24"/>
  <c r="AM127" i="24"/>
  <c r="AM201" i="24"/>
  <c r="H201" i="24"/>
  <c r="AM177" i="24"/>
  <c r="H177" i="24"/>
  <c r="H130" i="24"/>
  <c r="AM130" i="24"/>
  <c r="H114" i="24"/>
  <c r="AM114" i="24"/>
  <c r="AM196" i="24"/>
  <c r="H196" i="24"/>
  <c r="AM180" i="24"/>
  <c r="H180" i="24"/>
  <c r="H164" i="24"/>
  <c r="AM164" i="24"/>
  <c r="AM148" i="24"/>
  <c r="H148" i="24"/>
  <c r="H132" i="24"/>
  <c r="AM132" i="24"/>
  <c r="H303" i="24"/>
  <c r="AM303" i="24"/>
  <c r="H287" i="24"/>
  <c r="AM287" i="24"/>
  <c r="AM271" i="24"/>
  <c r="H271" i="24"/>
  <c r="AM255" i="24"/>
  <c r="H255" i="24"/>
  <c r="H239" i="24"/>
  <c r="AM239" i="24"/>
  <c r="H223" i="24"/>
  <c r="AM223" i="24"/>
  <c r="H203" i="24"/>
  <c r="AM203" i="24"/>
  <c r="AM129" i="24"/>
  <c r="H129" i="24"/>
  <c r="H179" i="24"/>
  <c r="AM179" i="24"/>
  <c r="H310" i="24"/>
  <c r="AM310" i="24"/>
  <c r="H250" i="24"/>
  <c r="AM250" i="24"/>
  <c r="H120" i="24"/>
  <c r="AM120" i="24"/>
  <c r="H178" i="24"/>
  <c r="AM178" i="24"/>
  <c r="AM162" i="24"/>
  <c r="H162" i="24"/>
  <c r="H146" i="24"/>
  <c r="AM146" i="24"/>
  <c r="AM218" i="24"/>
  <c r="H218" i="24"/>
  <c r="H301" i="24"/>
  <c r="AM301" i="24"/>
  <c r="AM285" i="24"/>
  <c r="H285" i="24"/>
  <c r="H269" i="24"/>
  <c r="AM269" i="24"/>
  <c r="H253" i="24"/>
  <c r="AM253" i="24"/>
  <c r="AM237" i="24"/>
  <c r="H237" i="24"/>
  <c r="H221" i="24"/>
  <c r="AM221" i="24"/>
  <c r="AM139" i="24"/>
  <c r="H139" i="24"/>
  <c r="AM266" i="24"/>
  <c r="H266" i="24"/>
  <c r="AM116" i="24"/>
  <c r="H116" i="24"/>
  <c r="AM209" i="24"/>
  <c r="H209" i="24"/>
  <c r="AM165" i="24"/>
  <c r="H165" i="24"/>
  <c r="H141" i="24"/>
  <c r="AM141" i="24"/>
  <c r="H312" i="24"/>
  <c r="AM312" i="24"/>
  <c r="AM296" i="24"/>
  <c r="H296" i="24"/>
  <c r="H280" i="24"/>
  <c r="AM280" i="24"/>
  <c r="AM264" i="24"/>
  <c r="H264" i="24"/>
  <c r="AM248" i="24"/>
  <c r="H248" i="24"/>
  <c r="H232" i="24"/>
  <c r="AM232" i="24"/>
  <c r="H175" i="24"/>
  <c r="AM175" i="24"/>
  <c r="H143" i="24"/>
  <c r="AM143" i="24"/>
  <c r="H302" i="24"/>
  <c r="AM302" i="24"/>
  <c r="H270" i="24"/>
  <c r="AM270" i="24"/>
  <c r="AM222" i="24"/>
  <c r="H222" i="24"/>
  <c r="AM206" i="24"/>
  <c r="H206" i="24"/>
  <c r="H119" i="24"/>
  <c r="AM119" i="24"/>
  <c r="H193" i="24"/>
  <c r="AM193" i="24"/>
  <c r="AM169" i="24"/>
  <c r="H169" i="24"/>
  <c r="H126" i="24"/>
  <c r="AM126" i="24"/>
  <c r="AM208" i="24"/>
  <c r="H208" i="24"/>
  <c r="AM192" i="24"/>
  <c r="H192" i="24"/>
  <c r="AM176" i="24"/>
  <c r="H176" i="24"/>
  <c r="H160" i="24"/>
  <c r="AM160" i="24"/>
  <c r="H144" i="24"/>
  <c r="AM144" i="24"/>
  <c r="AM315" i="24"/>
  <c r="H315" i="24"/>
  <c r="AM299" i="24"/>
  <c r="H299" i="24"/>
  <c r="H283" i="24"/>
  <c r="AM283" i="24"/>
  <c r="H267" i="24"/>
  <c r="AM267" i="24"/>
  <c r="H251" i="24"/>
  <c r="AM251" i="24"/>
  <c r="H235" i="24"/>
  <c r="AM235" i="24"/>
  <c r="AM219" i="24"/>
  <c r="H219" i="24"/>
  <c r="G52" i="23"/>
  <c r="H52" i="23" s="1"/>
  <c r="G87" i="23"/>
  <c r="H87" i="23" s="1"/>
  <c r="G47" i="23"/>
  <c r="H47" i="23" s="1"/>
  <c r="G15" i="23"/>
  <c r="H15" i="23" s="1"/>
  <c r="P300" i="24"/>
  <c r="P274" i="24"/>
  <c r="P306" i="24"/>
  <c r="P227" i="24"/>
  <c r="P255" i="24"/>
  <c r="P284" i="24"/>
  <c r="P316" i="24"/>
  <c r="P237" i="24"/>
  <c r="P308" i="24"/>
  <c r="P246" i="24"/>
  <c r="P262" i="24"/>
  <c r="P294" i="24"/>
  <c r="P310" i="24"/>
  <c r="P231" i="24"/>
  <c r="P295" i="24"/>
  <c r="P292" i="24"/>
  <c r="P225" i="24"/>
  <c r="P241" i="24"/>
  <c r="P257" i="24"/>
  <c r="P289" i="24"/>
  <c r="P259" i="24"/>
  <c r="P288" i="24"/>
  <c r="P218" i="24"/>
  <c r="P266" i="24"/>
  <c r="P239" i="24"/>
  <c r="P304" i="24"/>
  <c r="P229" i="24"/>
  <c r="G34" i="23"/>
  <c r="H34" i="23" s="1"/>
  <c r="P217" i="24"/>
  <c r="P233" i="24"/>
  <c r="P249" i="24"/>
  <c r="P265" i="24"/>
  <c r="P313" i="24"/>
  <c r="P275" i="24"/>
  <c r="P303" i="24"/>
  <c r="P240" i="24"/>
  <c r="P226" i="24"/>
  <c r="P242" i="24"/>
  <c r="P258" i="24"/>
  <c r="P290" i="24"/>
  <c r="P287" i="24"/>
  <c r="P220" i="24"/>
  <c r="P252" i="24"/>
  <c r="P269" i="24"/>
  <c r="P301" i="24"/>
  <c r="P251" i="24"/>
  <c r="P283" i="24"/>
  <c r="P311" i="24"/>
  <c r="P248" i="24"/>
  <c r="P230" i="24"/>
  <c r="P278" i="24"/>
  <c r="P263" i="24"/>
  <c r="P228" i="24"/>
  <c r="P260" i="24"/>
  <c r="P293" i="24"/>
  <c r="P281" i="24"/>
  <c r="P297" i="24"/>
  <c r="P243" i="24"/>
  <c r="P272" i="24"/>
  <c r="P221" i="24"/>
  <c r="P253" i="24"/>
  <c r="P285" i="24"/>
  <c r="P280" i="24"/>
  <c r="P256" i="24"/>
  <c r="P277" i="24"/>
  <c r="P309" i="24"/>
  <c r="P235" i="24"/>
  <c r="P296" i="24"/>
  <c r="P222" i="24"/>
  <c r="P286" i="24"/>
  <c r="P302" i="24"/>
  <c r="P247" i="24"/>
  <c r="P244" i="24"/>
  <c r="P276" i="24"/>
  <c r="P312" i="24"/>
  <c r="P273" i="24"/>
  <c r="P305" i="24"/>
  <c r="P219" i="24"/>
  <c r="P291" i="24"/>
  <c r="P224" i="24"/>
  <c r="P234" i="24"/>
  <c r="P250" i="24"/>
  <c r="P282" i="24"/>
  <c r="P298" i="24"/>
  <c r="P314" i="24"/>
  <c r="P271" i="24"/>
  <c r="P307" i="24"/>
  <c r="P236" i="24"/>
  <c r="P268" i="24"/>
  <c r="P245" i="24"/>
  <c r="P261" i="24"/>
  <c r="P267" i="24"/>
  <c r="P299" i="24"/>
  <c r="P232" i="24"/>
  <c r="P264" i="24"/>
  <c r="P238" i="24"/>
  <c r="P254" i="24"/>
  <c r="P270" i="24"/>
  <c r="P223" i="24"/>
  <c r="P279" i="24"/>
  <c r="P315" i="24"/>
  <c r="AM104" i="24"/>
  <c r="AM40" i="24"/>
  <c r="AM95" i="24"/>
  <c r="AM31" i="24"/>
  <c r="AM81" i="24"/>
  <c r="AM58" i="24"/>
  <c r="AM10" i="24"/>
  <c r="AM65" i="24"/>
  <c r="AM100" i="24"/>
  <c r="AM36" i="24"/>
  <c r="AM37" i="24"/>
  <c r="AM43" i="24"/>
  <c r="AM69" i="24"/>
  <c r="AM54" i="24"/>
  <c r="AM22" i="24"/>
  <c r="AM85" i="24"/>
  <c r="AM49" i="24"/>
  <c r="AM25" i="24"/>
  <c r="AM9" i="24"/>
  <c r="AM92" i="24"/>
  <c r="AM76" i="24"/>
  <c r="AM60" i="24"/>
  <c r="AM44" i="24"/>
  <c r="AM28" i="24"/>
  <c r="AM12" i="24"/>
  <c r="AM73" i="24"/>
  <c r="AM99" i="24"/>
  <c r="AM83" i="24"/>
  <c r="AM67" i="24"/>
  <c r="AM51" i="24"/>
  <c r="AM35" i="24"/>
  <c r="AM19" i="24"/>
  <c r="AM93" i="24"/>
  <c r="AM41" i="24"/>
  <c r="AM94" i="24"/>
  <c r="AM78" i="24"/>
  <c r="AM62" i="24"/>
  <c r="AM46" i="24"/>
  <c r="AM30" i="24"/>
  <c r="AM14" i="24"/>
  <c r="AM77" i="24"/>
  <c r="AM88" i="24"/>
  <c r="AM56" i="24"/>
  <c r="AM61" i="24"/>
  <c r="AM63" i="24"/>
  <c r="AM42" i="24"/>
  <c r="AM17" i="24"/>
  <c r="AM68" i="24"/>
  <c r="AM101" i="24"/>
  <c r="AM75" i="24"/>
  <c r="AM11" i="24"/>
  <c r="AM70" i="24"/>
  <c r="AM45" i="24"/>
  <c r="AM21" i="24"/>
  <c r="AM72" i="24"/>
  <c r="AM24" i="24"/>
  <c r="AM8" i="24"/>
  <c r="AM79" i="24"/>
  <c r="AM47" i="24"/>
  <c r="AM15" i="24"/>
  <c r="AM90" i="24"/>
  <c r="AM74" i="24"/>
  <c r="AM26" i="24"/>
  <c r="AM105" i="24"/>
  <c r="AM33" i="24"/>
  <c r="AM84" i="24"/>
  <c r="AM52" i="24"/>
  <c r="AM20" i="24"/>
  <c r="AM91" i="24"/>
  <c r="AM59" i="24"/>
  <c r="AM27" i="24"/>
  <c r="AM102" i="24"/>
  <c r="AM86" i="24"/>
  <c r="AM38" i="24"/>
  <c r="AM6" i="24"/>
  <c r="AM97" i="24"/>
  <c r="AM57" i="24"/>
  <c r="AM29" i="24"/>
  <c r="AM13" i="24"/>
  <c r="AM96" i="24"/>
  <c r="AM80" i="24"/>
  <c r="AM64" i="24"/>
  <c r="AM48" i="24"/>
  <c r="AM32" i="24"/>
  <c r="AM16" i="24"/>
  <c r="AM89" i="24"/>
  <c r="AM103" i="24"/>
  <c r="AM87" i="24"/>
  <c r="AM71" i="24"/>
  <c r="AM55" i="24"/>
  <c r="AM39" i="24"/>
  <c r="AM23" i="24"/>
  <c r="AM7" i="24"/>
  <c r="AM53" i="24"/>
  <c r="AM98" i="24"/>
  <c r="AM82" i="24"/>
  <c r="AM66" i="24"/>
  <c r="AM50" i="24"/>
  <c r="AM34" i="24"/>
  <c r="AM18" i="24"/>
  <c r="Q34" i="23"/>
  <c r="Q44" i="23"/>
  <c r="Q106" i="23"/>
  <c r="Q14" i="23"/>
  <c r="Q81" i="23"/>
  <c r="Q91" i="23"/>
  <c r="Q6" i="23"/>
  <c r="Q48" i="23"/>
  <c r="Q82" i="23"/>
  <c r="Q93" i="23"/>
  <c r="Q22" i="23"/>
  <c r="Q99" i="23"/>
  <c r="Q42" i="23"/>
  <c r="Q35" i="23"/>
  <c r="H49" i="24"/>
  <c r="H92" i="24"/>
  <c r="H28" i="24"/>
  <c r="H67" i="24"/>
  <c r="H19" i="24"/>
  <c r="H94" i="24"/>
  <c r="H46" i="24"/>
  <c r="H30" i="24"/>
  <c r="Q9" i="23"/>
  <c r="Q78" i="23"/>
  <c r="Q75" i="23"/>
  <c r="Q88" i="23"/>
  <c r="Q63" i="23"/>
  <c r="Q101" i="23"/>
  <c r="Q29" i="23"/>
  <c r="Q98" i="23"/>
  <c r="Q19" i="23"/>
  <c r="Q12" i="23"/>
  <c r="Q89" i="23"/>
  <c r="Q33" i="23"/>
  <c r="Q38" i="23"/>
  <c r="Q102" i="23"/>
  <c r="Q27" i="23"/>
  <c r="Q95" i="23"/>
  <c r="Q37" i="23"/>
  <c r="Q58" i="23"/>
  <c r="Q7" i="23"/>
  <c r="Q28" i="23"/>
  <c r="Q47" i="23"/>
  <c r="J24" i="23"/>
  <c r="K24" i="23" s="1"/>
  <c r="J97" i="23"/>
  <c r="K97" i="23" s="1"/>
  <c r="H77" i="24"/>
  <c r="H45" i="24"/>
  <c r="H21" i="24"/>
  <c r="H104" i="24"/>
  <c r="H88" i="24"/>
  <c r="H72" i="24"/>
  <c r="H56" i="24"/>
  <c r="H40" i="24"/>
  <c r="H24" i="24"/>
  <c r="H8" i="24"/>
  <c r="H61" i="24"/>
  <c r="H95" i="24"/>
  <c r="H79" i="24"/>
  <c r="H63" i="24"/>
  <c r="H47" i="24"/>
  <c r="H31" i="24"/>
  <c r="H15" i="24"/>
  <c r="H81" i="24"/>
  <c r="H5" i="24"/>
  <c r="BW5" i="24" s="1"/>
  <c r="H90" i="24"/>
  <c r="H74" i="24"/>
  <c r="H58" i="24"/>
  <c r="H42" i="24"/>
  <c r="H26" i="24"/>
  <c r="H10" i="24"/>
  <c r="Q23" i="23"/>
  <c r="Q59" i="23"/>
  <c r="Q13" i="23"/>
  <c r="Q76" i="23"/>
  <c r="Q17" i="23"/>
  <c r="Q96" i="23"/>
  <c r="Q21" i="23"/>
  <c r="Q87" i="23"/>
  <c r="H25" i="24"/>
  <c r="H76" i="24"/>
  <c r="H12" i="24"/>
  <c r="H99" i="24"/>
  <c r="H35" i="24"/>
  <c r="H41" i="24"/>
  <c r="H62" i="24"/>
  <c r="H14" i="24"/>
  <c r="Q94" i="23"/>
  <c r="Q71" i="23"/>
  <c r="Q84" i="23"/>
  <c r="Q24" i="23"/>
  <c r="Q97" i="23"/>
  <c r="Q54" i="23"/>
  <c r="Q103" i="23"/>
  <c r="Q20" i="23"/>
  <c r="Q31" i="23"/>
  <c r="Q10" i="23"/>
  <c r="Q40" i="23"/>
  <c r="Q64" i="23"/>
  <c r="Q61" i="23"/>
  <c r="Q57" i="23"/>
  <c r="H105" i="24"/>
  <c r="H65" i="24"/>
  <c r="H33" i="24"/>
  <c r="H17" i="24"/>
  <c r="H100" i="24"/>
  <c r="H84" i="24"/>
  <c r="H68" i="24"/>
  <c r="H52" i="24"/>
  <c r="H36" i="24"/>
  <c r="H20" i="24"/>
  <c r="H101" i="24"/>
  <c r="H37" i="24"/>
  <c r="H91" i="24"/>
  <c r="H75" i="24"/>
  <c r="H59" i="24"/>
  <c r="H43" i="24"/>
  <c r="H27" i="24"/>
  <c r="H11" i="24"/>
  <c r="H69" i="24"/>
  <c r="H102" i="24"/>
  <c r="H86" i="24"/>
  <c r="H70" i="24"/>
  <c r="H54" i="24"/>
  <c r="H38" i="24"/>
  <c r="H22" i="24"/>
  <c r="H6" i="24"/>
  <c r="Q62" i="23"/>
  <c r="Q67" i="23"/>
  <c r="Q36" i="23"/>
  <c r="Q85" i="23"/>
  <c r="Q68" i="23"/>
  <c r="Q86" i="23"/>
  <c r="Q73" i="23"/>
  <c r="Q104" i="23"/>
  <c r="Q100" i="23"/>
  <c r="H85" i="24"/>
  <c r="H9" i="24"/>
  <c r="H60" i="24"/>
  <c r="H44" i="24"/>
  <c r="H73" i="24"/>
  <c r="H83" i="24"/>
  <c r="H51" i="24"/>
  <c r="H93" i="24"/>
  <c r="H78" i="24"/>
  <c r="Q25" i="23"/>
  <c r="Q30" i="23"/>
  <c r="Q11" i="23"/>
  <c r="Q45" i="23"/>
  <c r="Q50" i="23"/>
  <c r="Q51" i="23"/>
  <c r="Q15" i="23"/>
  <c r="Q49" i="23"/>
  <c r="Q32" i="23"/>
  <c r="Q56" i="23"/>
  <c r="Q74" i="23"/>
  <c r="G82" i="23"/>
  <c r="H82" i="23" s="1"/>
  <c r="G102" i="23"/>
  <c r="H102" i="23" s="1"/>
  <c r="G13" i="23"/>
  <c r="H13" i="23" s="1"/>
  <c r="G104" i="23"/>
  <c r="H104" i="23" s="1"/>
  <c r="Q41" i="23"/>
  <c r="Q46" i="23"/>
  <c r="Q16" i="23"/>
  <c r="Q92" i="23"/>
  <c r="Q43" i="23"/>
  <c r="Q105" i="23"/>
  <c r="Q18" i="23"/>
  <c r="Q66" i="23"/>
  <c r="Q55" i="23"/>
  <c r="Q39" i="23"/>
  <c r="Q72" i="23"/>
  <c r="Q69" i="23"/>
  <c r="Q70" i="23"/>
  <c r="Q60" i="23"/>
  <c r="Q53" i="23"/>
  <c r="Q77" i="23"/>
  <c r="Q52" i="23"/>
  <c r="Q80" i="23"/>
  <c r="Q26" i="23"/>
  <c r="Q90" i="23"/>
  <c r="Q65" i="23"/>
  <c r="Q8" i="23"/>
  <c r="Q83" i="23"/>
  <c r="Q79" i="23"/>
  <c r="H97" i="24"/>
  <c r="H57" i="24"/>
  <c r="H29" i="24"/>
  <c r="H13" i="24"/>
  <c r="H96" i="24"/>
  <c r="H80" i="24"/>
  <c r="H64" i="24"/>
  <c r="H48" i="24"/>
  <c r="H32" i="24"/>
  <c r="H16" i="24"/>
  <c r="H89" i="24"/>
  <c r="H103" i="24"/>
  <c r="H87" i="24"/>
  <c r="H71" i="24"/>
  <c r="H55" i="24"/>
  <c r="H39" i="24"/>
  <c r="H23" i="24"/>
  <c r="H7" i="24"/>
  <c r="H53" i="24"/>
  <c r="H98" i="24"/>
  <c r="H82" i="24"/>
  <c r="H66" i="24"/>
  <c r="H50" i="24"/>
  <c r="H34" i="24"/>
  <c r="H18" i="24"/>
  <c r="G85" i="23"/>
  <c r="H85" i="23" s="1"/>
  <c r="J83" i="23"/>
  <c r="L83" i="23" s="1"/>
  <c r="G12" i="23"/>
  <c r="H12" i="23" s="1"/>
  <c r="J65" i="23"/>
  <c r="L65" i="23" s="1"/>
  <c r="G61" i="23"/>
  <c r="H61" i="23" s="1"/>
  <c r="J58" i="23"/>
  <c r="L58" i="23" s="1"/>
  <c r="J100" i="23"/>
  <c r="K100" i="23" s="1"/>
  <c r="G26" i="23"/>
  <c r="H26" i="23" s="1"/>
  <c r="G91" i="23"/>
  <c r="H91" i="23" s="1"/>
  <c r="G40" i="23"/>
  <c r="H40" i="23" s="1"/>
  <c r="G55" i="23"/>
  <c r="H55" i="23" s="1"/>
  <c r="J74" i="23"/>
  <c r="L74" i="23" s="1"/>
  <c r="G35" i="23"/>
  <c r="H35" i="23" s="1"/>
  <c r="G68" i="23"/>
  <c r="H68" i="23" s="1"/>
  <c r="G29" i="23"/>
  <c r="H29" i="23" s="1"/>
  <c r="J72" i="23"/>
  <c r="K72" i="23" s="1"/>
  <c r="G45" i="23"/>
  <c r="H45" i="23" s="1"/>
  <c r="J66" i="23"/>
  <c r="L66" i="23" s="1"/>
  <c r="J95" i="23"/>
  <c r="K95" i="23" s="1"/>
  <c r="J93" i="23"/>
  <c r="L93" i="23" s="1"/>
  <c r="J42" i="23"/>
  <c r="L42" i="23" s="1"/>
  <c r="J57" i="23"/>
  <c r="K57" i="23" s="1"/>
  <c r="G37" i="23"/>
  <c r="H37" i="23" s="1"/>
  <c r="G50" i="23"/>
  <c r="H50" i="23" s="1"/>
  <c r="G64" i="23"/>
  <c r="H64" i="23" s="1"/>
  <c r="G18" i="23"/>
  <c r="H18" i="23" s="1"/>
  <c r="G10" i="23"/>
  <c r="H10" i="23" s="1"/>
  <c r="G28" i="23"/>
  <c r="H28" i="23" s="1"/>
  <c r="G8" i="23"/>
  <c r="H8" i="23" s="1"/>
  <c r="G19" i="23"/>
  <c r="H19" i="23" s="1"/>
  <c r="K26" i="23"/>
  <c r="L26" i="23"/>
  <c r="K44" i="23"/>
  <c r="L44" i="23"/>
  <c r="K102" i="23"/>
  <c r="L102" i="23"/>
  <c r="L56" i="23"/>
  <c r="K56" i="23"/>
  <c r="L35" i="23"/>
  <c r="K35" i="23"/>
  <c r="K13" i="23"/>
  <c r="L13" i="23"/>
  <c r="K30" i="23"/>
  <c r="L30" i="23"/>
  <c r="K73" i="23"/>
  <c r="L73" i="23"/>
  <c r="L16" i="23"/>
  <c r="K16" i="23"/>
  <c r="L43" i="23"/>
  <c r="K43" i="23"/>
  <c r="K33" i="23"/>
  <c r="L33" i="23"/>
  <c r="K92" i="23"/>
  <c r="L92" i="23"/>
  <c r="L59" i="23"/>
  <c r="K59" i="23"/>
  <c r="L104" i="23"/>
  <c r="K104" i="23"/>
  <c r="L47" i="23"/>
  <c r="K47" i="23"/>
  <c r="K45" i="23"/>
  <c r="L45" i="23"/>
  <c r="K101" i="23"/>
  <c r="L101" i="23"/>
  <c r="K37" i="23"/>
  <c r="L37" i="23"/>
  <c r="L79" i="23"/>
  <c r="K79" i="23"/>
  <c r="K22" i="23"/>
  <c r="L22" i="23"/>
  <c r="L12" i="23"/>
  <c r="K12" i="23"/>
  <c r="L39" i="23"/>
  <c r="K39" i="23"/>
  <c r="K21" i="23"/>
  <c r="L21" i="23"/>
  <c r="L75" i="23"/>
  <c r="K75" i="23"/>
  <c r="K17" i="23"/>
  <c r="L17" i="23"/>
  <c r="L71" i="23"/>
  <c r="K71" i="23"/>
  <c r="K69" i="23"/>
  <c r="L69" i="23"/>
  <c r="K9" i="23"/>
  <c r="L9" i="23"/>
  <c r="K29" i="23"/>
  <c r="L29" i="23"/>
  <c r="K14" i="23"/>
  <c r="L14" i="23"/>
  <c r="K53" i="23"/>
  <c r="L53" i="23"/>
  <c r="L55" i="23"/>
  <c r="K55" i="23"/>
  <c r="L51" i="23"/>
  <c r="K51" i="23"/>
  <c r="K41" i="23"/>
  <c r="L41" i="23"/>
  <c r="L96" i="23"/>
  <c r="K96" i="23"/>
  <c r="K82" i="23"/>
  <c r="L82" i="23"/>
  <c r="K50" i="23"/>
  <c r="L50" i="23"/>
  <c r="L6" i="23"/>
  <c r="K6" i="23"/>
  <c r="K61" i="23"/>
  <c r="L61" i="23"/>
  <c r="L7" i="23"/>
  <c r="K7" i="23"/>
  <c r="L87" i="23"/>
  <c r="K87" i="23"/>
  <c r="K85" i="23"/>
  <c r="L85" i="23"/>
  <c r="K25" i="23"/>
  <c r="L25" i="23"/>
  <c r="L91" i="23"/>
  <c r="K91" i="23"/>
  <c r="K38" i="23"/>
  <c r="L38" i="23"/>
  <c r="K81" i="23"/>
  <c r="L81" i="23"/>
  <c r="L31" i="23"/>
  <c r="K31" i="23"/>
  <c r="K106" i="23"/>
  <c r="L106" i="23"/>
  <c r="L80" i="23"/>
  <c r="K80" i="23"/>
  <c r="L8" i="23"/>
  <c r="K8" i="23"/>
  <c r="K54" i="23"/>
  <c r="L54" i="23"/>
  <c r="K28" i="23"/>
  <c r="L28" i="23"/>
  <c r="K70" i="23"/>
  <c r="L70" i="23"/>
  <c r="L40" i="23"/>
  <c r="K40" i="23"/>
  <c r="L19" i="23"/>
  <c r="K19" i="23"/>
  <c r="K78" i="23"/>
  <c r="L78" i="23"/>
  <c r="K68" i="23"/>
  <c r="L68" i="23"/>
  <c r="L15" i="23"/>
  <c r="K15" i="23"/>
  <c r="L64" i="23"/>
  <c r="K64" i="23"/>
  <c r="L27" i="23"/>
  <c r="K27" i="23"/>
  <c r="K76" i="23"/>
  <c r="L76" i="23"/>
  <c r="L99" i="23"/>
  <c r="K99" i="23"/>
  <c r="K46" i="23"/>
  <c r="L46" i="23"/>
  <c r="K89" i="23"/>
  <c r="L89" i="23"/>
  <c r="K94" i="23"/>
  <c r="L94" i="23"/>
  <c r="K52" i="23"/>
  <c r="L52" i="23"/>
  <c r="L48" i="23"/>
  <c r="K48" i="23"/>
  <c r="L11" i="23"/>
  <c r="K11" i="23"/>
  <c r="K62" i="23"/>
  <c r="L62" i="23"/>
  <c r="L23" i="23"/>
  <c r="K23" i="23"/>
  <c r="K86" i="23"/>
  <c r="L86" i="23"/>
  <c r="K10" i="23"/>
  <c r="L10" i="23"/>
  <c r="K36" i="23"/>
  <c r="L36" i="23"/>
  <c r="K105" i="23"/>
  <c r="L105" i="23"/>
  <c r="L32" i="23"/>
  <c r="K32" i="23"/>
  <c r="K18" i="23"/>
  <c r="L18" i="23"/>
  <c r="K98" i="23"/>
  <c r="L98" i="23"/>
  <c r="K90" i="23"/>
  <c r="L90" i="23"/>
  <c r="K34" i="23"/>
  <c r="L34" i="23"/>
  <c r="C237" i="2"/>
  <c r="B237" i="2"/>
  <c r="B153" i="2"/>
  <c r="A196" i="2"/>
  <c r="F237" i="2"/>
  <c r="B238" i="2"/>
  <c r="H238" i="2"/>
  <c r="C43" i="16" s="1"/>
  <c r="F150" i="2"/>
  <c r="E38" i="1" s="1"/>
  <c r="A197" i="2" s="1"/>
  <c r="G150" i="2"/>
  <c r="G238" i="2"/>
  <c r="C238" i="2"/>
  <c r="A238" i="2" s="1"/>
  <c r="B152" i="2"/>
  <c r="AO2" i="19"/>
  <c r="H241" i="2"/>
  <c r="F241" i="2"/>
  <c r="K48" i="16"/>
  <c r="M48" i="16" s="1"/>
  <c r="B203" i="2"/>
  <c r="A203" i="2"/>
  <c r="E30" i="1"/>
  <c r="A2" i="21"/>
  <c r="K48" i="2"/>
  <c r="G89" i="19"/>
  <c r="G64" i="19"/>
  <c r="G65" i="19"/>
  <c r="G90" i="19"/>
  <c r="G91" i="19"/>
  <c r="AY106" i="19"/>
  <c r="G66" i="19"/>
  <c r="BN106" i="19"/>
  <c r="BC7" i="19" l="1"/>
  <c r="B38" i="2"/>
  <c r="D38" i="2" s="1"/>
  <c r="CC191" i="25"/>
  <c r="CC130" i="25"/>
  <c r="CC168" i="25"/>
  <c r="CC125" i="25"/>
  <c r="CC201" i="25"/>
  <c r="CC149" i="25"/>
  <c r="CC204" i="25"/>
  <c r="CC200" i="25"/>
  <c r="CC163" i="25"/>
  <c r="CC182" i="25"/>
  <c r="CC193" i="25"/>
  <c r="CC161" i="25"/>
  <c r="CC129" i="25"/>
  <c r="CC124" i="25"/>
  <c r="CC121" i="25"/>
  <c r="CC171" i="25"/>
  <c r="CC189" i="25"/>
  <c r="CC127" i="25"/>
  <c r="CC151" i="25"/>
  <c r="CC180" i="25"/>
  <c r="CC123" i="25"/>
  <c r="CC178" i="25"/>
  <c r="CC160" i="25"/>
  <c r="CC132" i="25"/>
  <c r="CC112" i="25"/>
  <c r="CC147" i="25"/>
  <c r="CC202" i="25"/>
  <c r="CC143" i="25"/>
  <c r="CC114" i="25"/>
  <c r="CC208" i="25"/>
  <c r="CC165" i="25"/>
  <c r="CC117" i="25"/>
  <c r="CC172" i="25"/>
  <c r="CC198" i="25"/>
  <c r="CC134" i="25"/>
  <c r="CC169" i="25"/>
  <c r="CC137" i="25"/>
  <c r="CC209" i="25"/>
  <c r="CC142" i="25"/>
  <c r="CC141" i="25"/>
  <c r="CC183" i="25"/>
  <c r="CC196" i="25"/>
  <c r="CC140" i="25"/>
  <c r="CC122" i="25"/>
  <c r="CC194" i="25"/>
  <c r="CC136" i="25"/>
  <c r="CC158" i="25"/>
  <c r="CC126" i="25"/>
  <c r="CC156" i="25"/>
  <c r="CC207" i="25"/>
  <c r="CC175" i="25"/>
  <c r="CC192" i="25"/>
  <c r="CC128" i="25"/>
  <c r="CC120" i="25"/>
  <c r="CC187" i="25"/>
  <c r="CC133" i="25"/>
  <c r="CC116" i="25"/>
  <c r="CC199" i="25"/>
  <c r="CC138" i="25"/>
  <c r="CC205" i="25"/>
  <c r="CC185" i="25"/>
  <c r="CC153" i="25"/>
  <c r="CC119" i="25"/>
  <c r="CC139" i="25"/>
  <c r="CC186" i="25"/>
  <c r="CC210" i="25"/>
  <c r="CC159" i="25"/>
  <c r="CC162" i="25"/>
  <c r="CC115" i="25"/>
  <c r="CC155" i="25"/>
  <c r="CC181" i="25"/>
  <c r="CC111" i="25"/>
  <c r="CC188" i="25"/>
  <c r="CC195" i="25"/>
  <c r="CC131" i="25"/>
  <c r="CC150" i="25"/>
  <c r="CC145" i="25"/>
  <c r="CC118" i="25"/>
  <c r="CC157" i="25"/>
  <c r="CC154" i="25"/>
  <c r="CC148" i="25"/>
  <c r="CC113" i="25"/>
  <c r="BW195" i="24"/>
  <c r="BW200" i="25"/>
  <c r="BW188" i="25"/>
  <c r="BW124" i="25"/>
  <c r="BW160" i="25"/>
  <c r="BW198" i="25"/>
  <c r="BW203" i="25"/>
  <c r="BW171" i="25"/>
  <c r="BW155" i="25"/>
  <c r="BW123" i="25"/>
  <c r="BW150" i="25"/>
  <c r="BW134" i="25"/>
  <c r="BW209" i="25"/>
  <c r="BW177" i="25"/>
  <c r="BW145" i="25"/>
  <c r="BW113" i="25"/>
  <c r="BW171" i="24"/>
  <c r="BW185" i="24"/>
  <c r="BW156" i="24"/>
  <c r="BW180" i="25"/>
  <c r="BW194" i="25"/>
  <c r="BW144" i="25"/>
  <c r="BW190" i="25"/>
  <c r="BW136" i="25"/>
  <c r="BW199" i="25"/>
  <c r="BW183" i="25"/>
  <c r="BW167" i="25"/>
  <c r="BW135" i="25"/>
  <c r="BW119" i="25"/>
  <c r="BW178" i="25"/>
  <c r="BW162" i="25"/>
  <c r="BW130" i="25"/>
  <c r="BW114" i="25"/>
  <c r="BW189" i="25"/>
  <c r="BW157" i="25"/>
  <c r="BW141" i="25"/>
  <c r="BW172" i="25"/>
  <c r="BW116" i="25"/>
  <c r="BW151" i="25"/>
  <c r="BW146" i="25"/>
  <c r="BW205" i="25"/>
  <c r="BW173" i="25"/>
  <c r="BW125" i="25"/>
  <c r="BW132" i="25"/>
  <c r="BW202" i="25"/>
  <c r="BW140" i="25"/>
  <c r="BW152" i="25"/>
  <c r="BW187" i="25"/>
  <c r="BW139" i="25"/>
  <c r="BW166" i="25"/>
  <c r="BW118" i="25"/>
  <c r="BW193" i="25"/>
  <c r="BW161" i="25"/>
  <c r="BW129" i="25"/>
  <c r="BW204" i="25"/>
  <c r="BW164" i="25"/>
  <c r="BW192" i="25"/>
  <c r="BW186" i="25"/>
  <c r="BW128" i="25"/>
  <c r="BW208" i="25"/>
  <c r="BW182" i="25"/>
  <c r="BW120" i="25"/>
  <c r="BW195" i="25"/>
  <c r="BW179" i="25"/>
  <c r="BW163" i="25"/>
  <c r="BW147" i="25"/>
  <c r="BW131" i="25"/>
  <c r="BW115" i="25"/>
  <c r="BW174" i="25"/>
  <c r="BW158" i="25"/>
  <c r="BW142" i="25"/>
  <c r="BW126" i="25"/>
  <c r="BW201" i="25"/>
  <c r="BW185" i="25"/>
  <c r="BW169" i="25"/>
  <c r="BW153" i="25"/>
  <c r="BW137" i="25"/>
  <c r="BW121" i="25"/>
  <c r="Q210" i="24"/>
  <c r="BW196" i="25"/>
  <c r="BW148" i="25"/>
  <c r="BW156" i="25"/>
  <c r="BW210" i="25"/>
  <c r="BW176" i="25"/>
  <c r="BW112" i="25"/>
  <c r="BW184" i="25"/>
  <c r="BW206" i="25"/>
  <c r="BW168" i="25"/>
  <c r="BW207" i="25"/>
  <c r="BW191" i="25"/>
  <c r="BW175" i="25"/>
  <c r="BW159" i="25"/>
  <c r="BW143" i="25"/>
  <c r="BW127" i="25"/>
  <c r="BW111" i="25"/>
  <c r="BW170" i="25"/>
  <c r="BW154" i="25"/>
  <c r="BW138" i="25"/>
  <c r="BW122" i="25"/>
  <c r="BW197" i="25"/>
  <c r="BW181" i="25"/>
  <c r="BW165" i="25"/>
  <c r="BW149" i="25"/>
  <c r="BW133" i="25"/>
  <c r="BW117" i="25"/>
  <c r="BW110" i="25"/>
  <c r="BW130" i="24"/>
  <c r="BW133" i="24"/>
  <c r="BW139" i="24"/>
  <c r="BW158" i="24"/>
  <c r="BW190" i="24"/>
  <c r="BW174" i="24"/>
  <c r="BW151" i="24"/>
  <c r="BW166" i="24"/>
  <c r="BW117" i="24"/>
  <c r="BW114" i="24"/>
  <c r="BW147" i="24"/>
  <c r="BW146" i="24"/>
  <c r="BW120" i="24"/>
  <c r="BW153" i="24"/>
  <c r="BW144" i="24"/>
  <c r="BW168" i="24"/>
  <c r="BW209" i="24"/>
  <c r="BW113" i="24"/>
  <c r="BW204" i="24"/>
  <c r="BW193" i="24"/>
  <c r="BW143" i="24"/>
  <c r="BW132" i="24"/>
  <c r="BW189" i="24"/>
  <c r="BW176" i="24"/>
  <c r="BW198" i="24"/>
  <c r="BW191" i="24"/>
  <c r="J253" i="24"/>
  <c r="X253" i="24" s="1"/>
  <c r="AA253" i="24" s="1"/>
  <c r="AB253" i="24" s="1"/>
  <c r="AC253" i="24" s="1"/>
  <c r="J190" i="24"/>
  <c r="AI190" i="24" s="1"/>
  <c r="O254" i="24"/>
  <c r="J305" i="24"/>
  <c r="X305" i="24" s="1"/>
  <c r="AA305" i="24" s="1"/>
  <c r="AB305" i="24" s="1"/>
  <c r="AC305" i="24" s="1"/>
  <c r="O223" i="24"/>
  <c r="J277" i="24"/>
  <c r="AE277" i="24" s="1"/>
  <c r="O243" i="24"/>
  <c r="O285" i="24"/>
  <c r="O251" i="24"/>
  <c r="O218" i="24"/>
  <c r="O279" i="24"/>
  <c r="J130" i="24"/>
  <c r="AI130" i="24" s="1"/>
  <c r="J282" i="24"/>
  <c r="AE282" i="24" s="1"/>
  <c r="J280" i="24"/>
  <c r="AE280" i="24" s="1"/>
  <c r="O307" i="24"/>
  <c r="J260" i="24"/>
  <c r="W260" i="24" s="1"/>
  <c r="Y260" i="24" s="1"/>
  <c r="O236" i="24"/>
  <c r="J171" i="24"/>
  <c r="AI171" i="24" s="1"/>
  <c r="J193" i="24"/>
  <c r="AI193" i="24" s="1"/>
  <c r="J147" i="24"/>
  <c r="AI147" i="24" s="1"/>
  <c r="J158" i="24"/>
  <c r="AI158" i="24" s="1"/>
  <c r="O219" i="24"/>
  <c r="O200" i="24"/>
  <c r="BW200" i="24" s="1"/>
  <c r="J265" i="24"/>
  <c r="AI265" i="24" s="1"/>
  <c r="J191" i="24"/>
  <c r="AI191" i="24" s="1"/>
  <c r="O173" i="24"/>
  <c r="BW173" i="24" s="1"/>
  <c r="O309" i="24"/>
  <c r="O287" i="24"/>
  <c r="J311" i="24"/>
  <c r="X311" i="24" s="1"/>
  <c r="AA311" i="24" s="1"/>
  <c r="AB311" i="24" s="1"/>
  <c r="AC311" i="24" s="1"/>
  <c r="J283" i="24"/>
  <c r="AE283" i="24" s="1"/>
  <c r="J248" i="24"/>
  <c r="AE248" i="24" s="1"/>
  <c r="O288" i="24"/>
  <c r="O247" i="24"/>
  <c r="J132" i="24"/>
  <c r="AI132" i="24" s="1"/>
  <c r="O302" i="24"/>
  <c r="J312" i="24"/>
  <c r="W312" i="24" s="1"/>
  <c r="J290" i="24"/>
  <c r="AI290" i="24" s="1"/>
  <c r="J226" i="24"/>
  <c r="AI226" i="24" s="1"/>
  <c r="O274" i="24"/>
  <c r="O221" i="24"/>
  <c r="O224" i="24"/>
  <c r="O245" i="24"/>
  <c r="O197" i="24"/>
  <c r="BW197" i="24" s="1"/>
  <c r="O202" i="24"/>
  <c r="BW202" i="24" s="1"/>
  <c r="J289" i="24"/>
  <c r="W289" i="24" s="1"/>
  <c r="Y289" i="24" s="1"/>
  <c r="O275" i="24"/>
  <c r="J244" i="24"/>
  <c r="W244" i="24" s="1"/>
  <c r="O227" i="24"/>
  <c r="J257" i="24"/>
  <c r="W257" i="24" s="1"/>
  <c r="Y257" i="24" s="1"/>
  <c r="O240" i="24"/>
  <c r="J299" i="24"/>
  <c r="AI299" i="24" s="1"/>
  <c r="J143" i="24"/>
  <c r="AI143" i="24" s="1"/>
  <c r="J185" i="24"/>
  <c r="AI185" i="24" s="1"/>
  <c r="O235" i="24"/>
  <c r="J176" i="24"/>
  <c r="AI176" i="24" s="1"/>
  <c r="J139" i="24"/>
  <c r="AI139" i="24" s="1"/>
  <c r="O310" i="24"/>
  <c r="O135" i="24"/>
  <c r="BW135" i="24" s="1"/>
  <c r="O180" i="24"/>
  <c r="BW180" i="24" s="1"/>
  <c r="O314" i="24"/>
  <c r="J278" i="24"/>
  <c r="X278" i="24" s="1"/>
  <c r="AA278" i="24" s="1"/>
  <c r="AB278" i="24" s="1"/>
  <c r="AC278" i="24" s="1"/>
  <c r="J262" i="24"/>
  <c r="AE262" i="24" s="1"/>
  <c r="J291" i="24"/>
  <c r="AI291" i="24" s="1"/>
  <c r="O138" i="24"/>
  <c r="BW138" i="24" s="1"/>
  <c r="J237" i="24"/>
  <c r="X237" i="24" s="1"/>
  <c r="AA237" i="24" s="1"/>
  <c r="AB237" i="24" s="1"/>
  <c r="AC237" i="24" s="1"/>
  <c r="O301" i="24"/>
  <c r="O304" i="24"/>
  <c r="J195" i="24"/>
  <c r="AE195" i="24" s="1"/>
  <c r="J198" i="24"/>
  <c r="AI198" i="24" s="1"/>
  <c r="J217" i="24"/>
  <c r="X217" i="24" s="1"/>
  <c r="AA217" i="24" s="1"/>
  <c r="AB217" i="24" s="1"/>
  <c r="AC217" i="24" s="1"/>
  <c r="O140" i="24"/>
  <c r="BW140" i="24" s="1"/>
  <c r="J261" i="24"/>
  <c r="AE261" i="24" s="1"/>
  <c r="O264" i="24"/>
  <c r="O164" i="24"/>
  <c r="BW164" i="24" s="1"/>
  <c r="O234" i="24"/>
  <c r="O220" i="24"/>
  <c r="O118" i="24"/>
  <c r="BW118" i="24" s="1"/>
  <c r="J281" i="24"/>
  <c r="X281" i="24" s="1"/>
  <c r="AA281" i="24" s="1"/>
  <c r="AB281" i="24" s="1"/>
  <c r="AC281" i="24" s="1"/>
  <c r="O315" i="24"/>
  <c r="O126" i="24"/>
  <c r="BW126" i="24" s="1"/>
  <c r="O222" i="24"/>
  <c r="O297" i="24"/>
  <c r="O124" i="24"/>
  <c r="BW124" i="24" s="1"/>
  <c r="O175" i="24"/>
  <c r="BW175" i="24" s="1"/>
  <c r="O266" i="24"/>
  <c r="O178" i="24"/>
  <c r="BW178" i="24" s="1"/>
  <c r="O256" i="24"/>
  <c r="J133" i="24"/>
  <c r="AI133" i="24" s="1"/>
  <c r="J117" i="24"/>
  <c r="AI117" i="24" s="1"/>
  <c r="O233" i="24"/>
  <c r="O294" i="24"/>
  <c r="J114" i="24"/>
  <c r="AI114" i="24" s="1"/>
  <c r="J151" i="24"/>
  <c r="AI151" i="24" s="1"/>
  <c r="O268" i="24"/>
  <c r="O230" i="24"/>
  <c r="O241" i="24"/>
  <c r="J166" i="24"/>
  <c r="AI166" i="24" s="1"/>
  <c r="O121" i="24"/>
  <c r="BW121" i="24" s="1"/>
  <c r="J276" i="24"/>
  <c r="AE276" i="24" s="1"/>
  <c r="J270" i="24"/>
  <c r="AE270" i="24" s="1"/>
  <c r="J204" i="24"/>
  <c r="AI204" i="24" s="1"/>
  <c r="J156" i="24"/>
  <c r="AI156" i="24" s="1"/>
  <c r="J144" i="24"/>
  <c r="AI144" i="24" s="1"/>
  <c r="J209" i="24"/>
  <c r="AI209" i="24" s="1"/>
  <c r="J120" i="24"/>
  <c r="AI120" i="24" s="1"/>
  <c r="J295" i="24"/>
  <c r="X295" i="24" s="1"/>
  <c r="AA295" i="24" s="1"/>
  <c r="AB295" i="24" s="1"/>
  <c r="AC295" i="24" s="1"/>
  <c r="J284" i="24"/>
  <c r="AI284" i="24" s="1"/>
  <c r="J168" i="24"/>
  <c r="AI168" i="24" s="1"/>
  <c r="J267" i="24"/>
  <c r="AI267" i="24" s="1"/>
  <c r="O160" i="24"/>
  <c r="BW160" i="24" s="1"/>
  <c r="J296" i="24"/>
  <c r="AI296" i="24" s="1"/>
  <c r="J146" i="24"/>
  <c r="AI146" i="24" s="1"/>
  <c r="O250" i="24"/>
  <c r="O129" i="24"/>
  <c r="BW129" i="24" s="1"/>
  <c r="J246" i="24"/>
  <c r="X246" i="24" s="1"/>
  <c r="AA246" i="24" s="1"/>
  <c r="AB246" i="24" s="1"/>
  <c r="AC246" i="24" s="1"/>
  <c r="O303" i="24"/>
  <c r="J252" i="24"/>
  <c r="AI252" i="24" s="1"/>
  <c r="O316" i="24"/>
  <c r="J225" i="24"/>
  <c r="W225" i="24" s="1"/>
  <c r="Y225" i="24" s="1"/>
  <c r="O286" i="24"/>
  <c r="J238" i="24"/>
  <c r="X238" i="24" s="1"/>
  <c r="AA238" i="24" s="1"/>
  <c r="AB238" i="24" s="1"/>
  <c r="AC238" i="24" s="1"/>
  <c r="J189" i="24"/>
  <c r="AI189" i="24" s="1"/>
  <c r="J313" i="24"/>
  <c r="X313" i="24" s="1"/>
  <c r="AA313" i="24" s="1"/>
  <c r="AB313" i="24" s="1"/>
  <c r="AC313" i="24" s="1"/>
  <c r="J232" i="24"/>
  <c r="AI232" i="24" s="1"/>
  <c r="J269" i="24"/>
  <c r="AI269" i="24" s="1"/>
  <c r="J255" i="24"/>
  <c r="AI255" i="24" s="1"/>
  <c r="J263" i="24"/>
  <c r="AI263" i="24" s="1"/>
  <c r="J298" i="24"/>
  <c r="AE298" i="24" s="1"/>
  <c r="J308" i="24"/>
  <c r="X308" i="24" s="1"/>
  <c r="AA308" i="24" s="1"/>
  <c r="AB308" i="24" s="1"/>
  <c r="AC308" i="24" s="1"/>
  <c r="J242" i="24"/>
  <c r="AI242" i="24" s="1"/>
  <c r="O259" i="24"/>
  <c r="O258" i="24"/>
  <c r="O228" i="24"/>
  <c r="O292" i="24"/>
  <c r="O239" i="24"/>
  <c r="O271" i="24"/>
  <c r="O127" i="24"/>
  <c r="BW127" i="24" s="1"/>
  <c r="O300" i="24"/>
  <c r="O273" i="24"/>
  <c r="O111" i="24"/>
  <c r="BW111" i="24" s="1"/>
  <c r="O272" i="24"/>
  <c r="O229" i="24"/>
  <c r="O293" i="24"/>
  <c r="J231" i="24"/>
  <c r="AI231" i="24" s="1"/>
  <c r="J306" i="24"/>
  <c r="AE306" i="24" s="1"/>
  <c r="J174" i="24"/>
  <c r="AI174" i="24" s="1"/>
  <c r="J249" i="24"/>
  <c r="X249" i="24" s="1"/>
  <c r="AA249" i="24" s="1"/>
  <c r="AB249" i="24" s="1"/>
  <c r="AC249" i="24" s="1"/>
  <c r="J153" i="24"/>
  <c r="AE153" i="24" s="1"/>
  <c r="J113" i="24"/>
  <c r="AI113" i="24" s="1"/>
  <c r="BW86" i="24"/>
  <c r="BW46" i="24"/>
  <c r="BW73" i="24"/>
  <c r="BW41" i="24"/>
  <c r="BW42" i="24"/>
  <c r="BW56" i="24"/>
  <c r="BW21" i="24"/>
  <c r="BW50" i="24"/>
  <c r="BW53" i="24"/>
  <c r="BW89" i="24"/>
  <c r="BW64" i="24"/>
  <c r="BW29" i="24"/>
  <c r="BW60" i="24"/>
  <c r="BW70" i="24"/>
  <c r="BW54" i="24"/>
  <c r="BW69" i="24"/>
  <c r="BW101" i="24"/>
  <c r="BW68" i="24"/>
  <c r="BW33" i="24"/>
  <c r="BW25" i="24"/>
  <c r="BW72" i="24"/>
  <c r="BW18" i="24"/>
  <c r="BW82" i="24"/>
  <c r="BW32" i="24"/>
  <c r="BW96" i="24"/>
  <c r="BW97" i="24"/>
  <c r="BW78" i="24"/>
  <c r="BW85" i="24"/>
  <c r="BW92" i="24"/>
  <c r="BW36" i="24"/>
  <c r="BW100" i="24"/>
  <c r="BW105" i="24"/>
  <c r="BW40" i="24"/>
  <c r="BW28" i="24"/>
  <c r="BW104" i="24"/>
  <c r="BW63" i="24"/>
  <c r="BW19" i="24"/>
  <c r="BW79" i="24"/>
  <c r="J196" i="24"/>
  <c r="AI196" i="24" s="1"/>
  <c r="O196" i="24"/>
  <c r="BW196" i="24" s="1"/>
  <c r="J145" i="24"/>
  <c r="X145" i="24" s="1"/>
  <c r="AA145" i="24" s="1"/>
  <c r="AB145" i="24" s="1"/>
  <c r="AC145" i="24" s="1"/>
  <c r="O145" i="24"/>
  <c r="BW145" i="24" s="1"/>
  <c r="J150" i="24"/>
  <c r="X150" i="24" s="1"/>
  <c r="AA150" i="24" s="1"/>
  <c r="AB150" i="24" s="1"/>
  <c r="AC150" i="24" s="1"/>
  <c r="O150" i="24"/>
  <c r="BW150" i="24" s="1"/>
  <c r="J136" i="24"/>
  <c r="AE136" i="24" s="1"/>
  <c r="O136" i="24"/>
  <c r="BW136" i="24" s="1"/>
  <c r="J181" i="24"/>
  <c r="AE181" i="24" s="1"/>
  <c r="O181" i="24"/>
  <c r="BW181" i="24" s="1"/>
  <c r="J149" i="24"/>
  <c r="AI149" i="24" s="1"/>
  <c r="O149" i="24"/>
  <c r="BW149" i="24" s="1"/>
  <c r="J186" i="24"/>
  <c r="AI186" i="24" s="1"/>
  <c r="O186" i="24"/>
  <c r="BW186" i="24" s="1"/>
  <c r="J122" i="24"/>
  <c r="W122" i="24" s="1"/>
  <c r="Y122" i="24" s="1"/>
  <c r="O122" i="24"/>
  <c r="BW122" i="24" s="1"/>
  <c r="J128" i="24"/>
  <c r="X128" i="24" s="1"/>
  <c r="AA128" i="24" s="1"/>
  <c r="AB128" i="24" s="1"/>
  <c r="AC128" i="24" s="1"/>
  <c r="O128" i="24"/>
  <c r="BW128" i="24" s="1"/>
  <c r="J163" i="24"/>
  <c r="AI163" i="24" s="1"/>
  <c r="O163" i="24"/>
  <c r="BW163" i="24" s="1"/>
  <c r="J208" i="24"/>
  <c r="AE208" i="24" s="1"/>
  <c r="O208" i="24"/>
  <c r="BW208" i="24" s="1"/>
  <c r="J141" i="24"/>
  <c r="X141" i="24" s="1"/>
  <c r="AA141" i="24" s="1"/>
  <c r="AB141" i="24" s="1"/>
  <c r="AC141" i="24" s="1"/>
  <c r="O141" i="24"/>
  <c r="BW141" i="24" s="1"/>
  <c r="J179" i="24"/>
  <c r="X179" i="24" s="1"/>
  <c r="AA179" i="24" s="1"/>
  <c r="AB179" i="24" s="1"/>
  <c r="AC179" i="24" s="1"/>
  <c r="O179" i="24"/>
  <c r="BW179" i="24" s="1"/>
  <c r="BW23" i="24"/>
  <c r="BW91" i="24"/>
  <c r="J201" i="24"/>
  <c r="W201" i="24" s="1"/>
  <c r="O201" i="24"/>
  <c r="BW201" i="24" s="1"/>
  <c r="J155" i="24"/>
  <c r="AE155" i="24" s="1"/>
  <c r="O155" i="24"/>
  <c r="BW155" i="24" s="1"/>
  <c r="J131" i="24"/>
  <c r="AI131" i="24" s="1"/>
  <c r="O131" i="24"/>
  <c r="BW131" i="24" s="1"/>
  <c r="J184" i="24"/>
  <c r="X184" i="24" s="1"/>
  <c r="AA184" i="24" s="1"/>
  <c r="AB184" i="24" s="1"/>
  <c r="AC184" i="24" s="1"/>
  <c r="O184" i="24"/>
  <c r="BW184" i="24" s="1"/>
  <c r="J112" i="24"/>
  <c r="W112" i="24" s="1"/>
  <c r="O112" i="24"/>
  <c r="BW112" i="24" s="1"/>
  <c r="J154" i="24"/>
  <c r="X154" i="24" s="1"/>
  <c r="AA154" i="24" s="1"/>
  <c r="AB154" i="24" s="1"/>
  <c r="AC154" i="24" s="1"/>
  <c r="O154" i="24"/>
  <c r="BW154" i="24" s="1"/>
  <c r="J172" i="24"/>
  <c r="W172" i="24" s="1"/>
  <c r="O172" i="24"/>
  <c r="BW172" i="24" s="1"/>
  <c r="J115" i="24"/>
  <c r="AE115" i="24" s="1"/>
  <c r="O115" i="24"/>
  <c r="BW115" i="24" s="1"/>
  <c r="J183" i="24"/>
  <c r="X183" i="24" s="1"/>
  <c r="AA183" i="24" s="1"/>
  <c r="AB183" i="24" s="1"/>
  <c r="AC183" i="24" s="1"/>
  <c r="O183" i="24"/>
  <c r="BW183" i="24" s="1"/>
  <c r="J187" i="24"/>
  <c r="AE187" i="24" s="1"/>
  <c r="O187" i="24"/>
  <c r="BW187" i="24" s="1"/>
  <c r="J119" i="24"/>
  <c r="AI119" i="24" s="1"/>
  <c r="O119" i="24"/>
  <c r="BW119" i="24" s="1"/>
  <c r="J116" i="24"/>
  <c r="AE116" i="24" s="1"/>
  <c r="O116" i="24"/>
  <c r="BW116" i="24" s="1"/>
  <c r="BW87" i="24"/>
  <c r="BW31" i="24"/>
  <c r="BW27" i="24"/>
  <c r="BW83" i="24"/>
  <c r="BW14" i="24"/>
  <c r="BW10" i="24"/>
  <c r="BW74" i="24"/>
  <c r="J148" i="24"/>
  <c r="W148" i="24" s="1"/>
  <c r="Y148" i="24" s="1"/>
  <c r="O148" i="24"/>
  <c r="BW148" i="24" s="1"/>
  <c r="J177" i="24"/>
  <c r="AI177" i="24" s="1"/>
  <c r="O177" i="24"/>
  <c r="BW177" i="24" s="1"/>
  <c r="J210" i="24"/>
  <c r="W210" i="24" s="1"/>
  <c r="Y210" i="24" s="1"/>
  <c r="O210" i="24"/>
  <c r="BW210" i="24" s="1"/>
  <c r="J123" i="24"/>
  <c r="W123" i="24" s="1"/>
  <c r="O123" i="24"/>
  <c r="BW123" i="24" s="1"/>
  <c r="J134" i="24"/>
  <c r="AI134" i="24" s="1"/>
  <c r="O134" i="24"/>
  <c r="BW134" i="24" s="1"/>
  <c r="J182" i="24"/>
  <c r="X182" i="24" s="1"/>
  <c r="AA182" i="24" s="1"/>
  <c r="AB182" i="24" s="1"/>
  <c r="AC182" i="24" s="1"/>
  <c r="O182" i="24"/>
  <c r="BW182" i="24" s="1"/>
  <c r="J199" i="24"/>
  <c r="AI199" i="24" s="1"/>
  <c r="O199" i="24"/>
  <c r="BW199" i="24" s="1"/>
  <c r="J152" i="24"/>
  <c r="AI152" i="24" s="1"/>
  <c r="O152" i="24"/>
  <c r="BW152" i="24" s="1"/>
  <c r="J157" i="24"/>
  <c r="AE157" i="24" s="1"/>
  <c r="O157" i="24"/>
  <c r="BW157" i="24" s="1"/>
  <c r="J205" i="24"/>
  <c r="X205" i="24" s="1"/>
  <c r="AA205" i="24" s="1"/>
  <c r="AB205" i="24" s="1"/>
  <c r="AC205" i="24" s="1"/>
  <c r="O205" i="24"/>
  <c r="BW205" i="24" s="1"/>
  <c r="J159" i="24"/>
  <c r="AI159" i="24" s="1"/>
  <c r="O159" i="24"/>
  <c r="BW159" i="24" s="1"/>
  <c r="J167" i="24"/>
  <c r="AI167" i="24" s="1"/>
  <c r="O167" i="24"/>
  <c r="BW167" i="24" s="1"/>
  <c r="J170" i="24"/>
  <c r="X170" i="24" s="1"/>
  <c r="AA170" i="24" s="1"/>
  <c r="AB170" i="24" s="1"/>
  <c r="AC170" i="24" s="1"/>
  <c r="O170" i="24"/>
  <c r="BW170" i="24" s="1"/>
  <c r="J207" i="24"/>
  <c r="AE207" i="24" s="1"/>
  <c r="O207" i="24"/>
  <c r="BW207" i="24" s="1"/>
  <c r="J188" i="24"/>
  <c r="AI188" i="24" s="1"/>
  <c r="O188" i="24"/>
  <c r="BW188" i="24" s="1"/>
  <c r="J161" i="24"/>
  <c r="AI161" i="24" s="1"/>
  <c r="O161" i="24"/>
  <c r="BW161" i="24" s="1"/>
  <c r="J194" i="24"/>
  <c r="AI194" i="24" s="1"/>
  <c r="O194" i="24"/>
  <c r="BW194" i="24" s="1"/>
  <c r="J137" i="24"/>
  <c r="X137" i="24" s="1"/>
  <c r="AA137" i="24" s="1"/>
  <c r="AB137" i="24" s="1"/>
  <c r="AC137" i="24" s="1"/>
  <c r="O137" i="24"/>
  <c r="BW137" i="24" s="1"/>
  <c r="J142" i="24"/>
  <c r="X142" i="24" s="1"/>
  <c r="AA142" i="24" s="1"/>
  <c r="AB142" i="24" s="1"/>
  <c r="AC142" i="24" s="1"/>
  <c r="O142" i="24"/>
  <c r="BW142" i="24" s="1"/>
  <c r="J125" i="24"/>
  <c r="AI125" i="24" s="1"/>
  <c r="O125" i="24"/>
  <c r="BW125" i="24" s="1"/>
  <c r="J192" i="24"/>
  <c r="AI192" i="24" s="1"/>
  <c r="O192" i="24"/>
  <c r="BW192" i="24" s="1"/>
  <c r="J169" i="24"/>
  <c r="AE169" i="24" s="1"/>
  <c r="O169" i="24"/>
  <c r="BW169" i="24" s="1"/>
  <c r="J206" i="24"/>
  <c r="AI206" i="24" s="1"/>
  <c r="O206" i="24"/>
  <c r="BW206" i="24" s="1"/>
  <c r="J165" i="24"/>
  <c r="X165" i="24" s="1"/>
  <c r="AA165" i="24" s="1"/>
  <c r="AB165" i="24" s="1"/>
  <c r="AC165" i="24" s="1"/>
  <c r="O165" i="24"/>
  <c r="BW165" i="24" s="1"/>
  <c r="J162" i="24"/>
  <c r="AI162" i="24" s="1"/>
  <c r="O162" i="24"/>
  <c r="BW162" i="24" s="1"/>
  <c r="J203" i="24"/>
  <c r="AE203" i="24" s="1"/>
  <c r="O203" i="24"/>
  <c r="BW203" i="24" s="1"/>
  <c r="BW55" i="24"/>
  <c r="BW95" i="24"/>
  <c r="BW59" i="24"/>
  <c r="BW51" i="24"/>
  <c r="J46" i="24"/>
  <c r="AE46" i="24" s="1"/>
  <c r="J64" i="24"/>
  <c r="AE64" i="24" s="1"/>
  <c r="AF64" i="24" s="1"/>
  <c r="J95" i="24"/>
  <c r="AI95" i="24" s="1"/>
  <c r="J59" i="24"/>
  <c r="AE59" i="24" s="1"/>
  <c r="J54" i="24"/>
  <c r="AE54" i="24" s="1"/>
  <c r="J73" i="24"/>
  <c r="X73" i="24" s="1"/>
  <c r="AA73" i="24" s="1"/>
  <c r="AB73" i="24" s="1"/>
  <c r="AC73" i="24" s="1"/>
  <c r="J56" i="24"/>
  <c r="X56" i="24" s="1"/>
  <c r="AA56" i="24" s="1"/>
  <c r="AB56" i="24" s="1"/>
  <c r="AC56" i="24" s="1"/>
  <c r="J14" i="24"/>
  <c r="X14" i="24" s="1"/>
  <c r="AA14" i="24" s="1"/>
  <c r="AB14" i="24" s="1"/>
  <c r="AC14" i="24" s="1"/>
  <c r="J78" i="24"/>
  <c r="X78" i="24" s="1"/>
  <c r="AA78" i="24" s="1"/>
  <c r="AB78" i="24" s="1"/>
  <c r="AC78" i="24" s="1"/>
  <c r="J23" i="24"/>
  <c r="AI23" i="24" s="1"/>
  <c r="J87" i="24"/>
  <c r="AE87" i="24" s="1"/>
  <c r="J32" i="24"/>
  <c r="AI32" i="24" s="1"/>
  <c r="J96" i="24"/>
  <c r="W96" i="24" s="1"/>
  <c r="J97" i="24"/>
  <c r="W97" i="24" s="1"/>
  <c r="Y97" i="24" s="1"/>
  <c r="J31" i="24"/>
  <c r="AE31" i="24" s="1"/>
  <c r="J40" i="24"/>
  <c r="AE40" i="24" s="1"/>
  <c r="J18" i="24"/>
  <c r="AE18" i="24" s="1"/>
  <c r="J82" i="24"/>
  <c r="AE82" i="24" s="1"/>
  <c r="J27" i="24"/>
  <c r="AI27" i="24" s="1"/>
  <c r="J91" i="24"/>
  <c r="X91" i="24" s="1"/>
  <c r="AA91" i="24" s="1"/>
  <c r="AB91" i="24" s="1"/>
  <c r="AC91" i="24" s="1"/>
  <c r="J36" i="24"/>
  <c r="AI36" i="24" s="1"/>
  <c r="J100" i="24"/>
  <c r="AI100" i="24" s="1"/>
  <c r="J105" i="24"/>
  <c r="AI105" i="24" s="1"/>
  <c r="J63" i="24"/>
  <c r="AE63" i="24" s="1"/>
  <c r="J10" i="24"/>
  <c r="AI10" i="24" s="1"/>
  <c r="J74" i="24"/>
  <c r="X74" i="24" s="1"/>
  <c r="AA74" i="24" s="1"/>
  <c r="AB74" i="24" s="1"/>
  <c r="AC74" i="24" s="1"/>
  <c r="J19" i="24"/>
  <c r="AE19" i="24" s="1"/>
  <c r="J83" i="24"/>
  <c r="X83" i="24" s="1"/>
  <c r="AA83" i="24" s="1"/>
  <c r="AB83" i="24" s="1"/>
  <c r="AC83" i="24" s="1"/>
  <c r="J28" i="24"/>
  <c r="AE28" i="24" s="1"/>
  <c r="J92" i="24"/>
  <c r="AE92" i="24" s="1"/>
  <c r="J85" i="24"/>
  <c r="X85" i="24" s="1"/>
  <c r="AA85" i="24" s="1"/>
  <c r="AB85" i="24" s="1"/>
  <c r="AC85" i="24" s="1"/>
  <c r="J79" i="24"/>
  <c r="AE79" i="24" s="1"/>
  <c r="J53" i="24"/>
  <c r="X53" i="24" s="1"/>
  <c r="AA53" i="24" s="1"/>
  <c r="AB53" i="24" s="1"/>
  <c r="AC53" i="24" s="1"/>
  <c r="J89" i="24"/>
  <c r="AE89" i="24" s="1"/>
  <c r="J70" i="24"/>
  <c r="AI70" i="24" s="1"/>
  <c r="J21" i="24"/>
  <c r="W21" i="24" s="1"/>
  <c r="J69" i="24"/>
  <c r="AI69" i="24" s="1"/>
  <c r="J101" i="24"/>
  <c r="X101" i="24" s="1"/>
  <c r="AA101" i="24" s="1"/>
  <c r="AB101" i="24" s="1"/>
  <c r="AC101" i="24" s="1"/>
  <c r="J33" i="24"/>
  <c r="W33" i="24" s="1"/>
  <c r="J42" i="24"/>
  <c r="AI42" i="24" s="1"/>
  <c r="J41" i="24"/>
  <c r="AE41" i="24" s="1"/>
  <c r="J60" i="24"/>
  <c r="AI60" i="24" s="1"/>
  <c r="J86" i="24"/>
  <c r="X86" i="24" s="1"/>
  <c r="AA86" i="24" s="1"/>
  <c r="AB86" i="24" s="1"/>
  <c r="AC86" i="24" s="1"/>
  <c r="J55" i="24"/>
  <c r="W55" i="24" s="1"/>
  <c r="Y55" i="24" s="1"/>
  <c r="J29" i="24"/>
  <c r="AE29" i="24" s="1"/>
  <c r="J50" i="24"/>
  <c r="AI50" i="24" s="1"/>
  <c r="J68" i="24"/>
  <c r="AE68" i="24" s="1"/>
  <c r="J72" i="24"/>
  <c r="AE72" i="24" s="1"/>
  <c r="J51" i="24"/>
  <c r="AE51" i="24" s="1"/>
  <c r="J25" i="24"/>
  <c r="AI25" i="24" s="1"/>
  <c r="J104" i="24"/>
  <c r="AI104" i="24" s="1"/>
  <c r="P110" i="24"/>
  <c r="Q110" i="24"/>
  <c r="Q27" i="24"/>
  <c r="R27" i="24" s="1"/>
  <c r="Q70" i="24"/>
  <c r="R70" i="24" s="1"/>
  <c r="Q79" i="24"/>
  <c r="R79" i="24" s="1"/>
  <c r="Q53" i="24"/>
  <c r="R53" i="24" s="1"/>
  <c r="Q23" i="24"/>
  <c r="R23" i="24" s="1"/>
  <c r="Q32" i="24"/>
  <c r="R32" i="24" s="1"/>
  <c r="Q97" i="24"/>
  <c r="Q59" i="24"/>
  <c r="Q86" i="24"/>
  <c r="Q95" i="24"/>
  <c r="R95" i="24" s="1"/>
  <c r="Q104" i="24"/>
  <c r="R104" i="24" s="1"/>
  <c r="Q33" i="24"/>
  <c r="Q41" i="24"/>
  <c r="R41" i="24" s="1"/>
  <c r="Q51" i="24"/>
  <c r="Q73" i="24"/>
  <c r="R73" i="24" s="1"/>
  <c r="Q25" i="24"/>
  <c r="R25" i="24" s="1"/>
  <c r="Q78" i="24"/>
  <c r="R78" i="24" s="1"/>
  <c r="Q101" i="24"/>
  <c r="R101" i="24" s="1"/>
  <c r="Q21" i="24"/>
  <c r="R21" i="24" s="1"/>
  <c r="Q100" i="24"/>
  <c r="R100" i="24" s="1"/>
  <c r="Q55" i="24"/>
  <c r="Q64" i="24"/>
  <c r="R64" i="24" s="1"/>
  <c r="Q68" i="24"/>
  <c r="R68" i="24" s="1"/>
  <c r="Q54" i="24"/>
  <c r="Q63" i="24"/>
  <c r="R63" i="24" s="1"/>
  <c r="Q69" i="24"/>
  <c r="R69" i="24" s="1"/>
  <c r="Q10" i="24"/>
  <c r="R10" i="24" s="1"/>
  <c r="Q19" i="24"/>
  <c r="Q28" i="24"/>
  <c r="R28" i="24" s="1"/>
  <c r="Q85" i="24"/>
  <c r="R85" i="24" s="1"/>
  <c r="Q105" i="24"/>
  <c r="P41" i="24"/>
  <c r="P27" i="24"/>
  <c r="T30" i="24"/>
  <c r="O30" i="24" s="1"/>
  <c r="BW30" i="24" s="1"/>
  <c r="P78" i="24"/>
  <c r="T39" i="24"/>
  <c r="O39" i="24" s="1"/>
  <c r="BW39" i="24" s="1"/>
  <c r="T48" i="24"/>
  <c r="O48" i="24" s="1"/>
  <c r="BW48" i="24" s="1"/>
  <c r="T38" i="24"/>
  <c r="O38" i="24" s="1"/>
  <c r="BW38" i="24" s="1"/>
  <c r="T88" i="24"/>
  <c r="O88" i="24" s="1"/>
  <c r="BW88" i="24" s="1"/>
  <c r="T98" i="24"/>
  <c r="O98" i="24" s="1"/>
  <c r="BW98" i="24" s="1"/>
  <c r="T37" i="24"/>
  <c r="O37" i="24" s="1"/>
  <c r="BW37" i="24" s="1"/>
  <c r="T17" i="24"/>
  <c r="O17" i="24" s="1"/>
  <c r="BW17" i="24" s="1"/>
  <c r="T61" i="24"/>
  <c r="O61" i="24" s="1"/>
  <c r="BW61" i="24" s="1"/>
  <c r="T90" i="24"/>
  <c r="O90" i="24" s="1"/>
  <c r="BW90" i="24" s="1"/>
  <c r="T99" i="24"/>
  <c r="O99" i="24" s="1"/>
  <c r="BW99" i="24" s="1"/>
  <c r="T9" i="24"/>
  <c r="O9" i="24" s="1"/>
  <c r="BW9" i="24" s="1"/>
  <c r="T8" i="24"/>
  <c r="O8" i="24" s="1"/>
  <c r="BW8" i="24" s="1"/>
  <c r="T7" i="24"/>
  <c r="O7" i="24" s="1"/>
  <c r="BW7" i="24" s="1"/>
  <c r="T16" i="24"/>
  <c r="O16" i="24" s="1"/>
  <c r="BW16" i="24" s="1"/>
  <c r="T57" i="24"/>
  <c r="O57" i="24" s="1"/>
  <c r="BW57" i="24" s="1"/>
  <c r="T24" i="24"/>
  <c r="O24" i="24" s="1"/>
  <c r="BW24" i="24" s="1"/>
  <c r="T66" i="24"/>
  <c r="O66" i="24" s="1"/>
  <c r="BW66" i="24" s="1"/>
  <c r="T75" i="24"/>
  <c r="O75" i="24" s="1"/>
  <c r="BW75" i="24" s="1"/>
  <c r="T84" i="24"/>
  <c r="O84" i="24" s="1"/>
  <c r="BW84" i="24" s="1"/>
  <c r="T81" i="24"/>
  <c r="O81" i="24" s="1"/>
  <c r="BW81" i="24" s="1"/>
  <c r="T58" i="24"/>
  <c r="O58" i="24" s="1"/>
  <c r="BW58" i="24" s="1"/>
  <c r="T67" i="24"/>
  <c r="O67" i="24" s="1"/>
  <c r="BW67" i="24" s="1"/>
  <c r="T76" i="24"/>
  <c r="O76" i="24" s="1"/>
  <c r="BW76" i="24" s="1"/>
  <c r="T15" i="24"/>
  <c r="O15" i="24" s="1"/>
  <c r="BW15" i="24" s="1"/>
  <c r="T94" i="24"/>
  <c r="O94" i="24" s="1"/>
  <c r="BW94" i="24" s="1"/>
  <c r="T103" i="24"/>
  <c r="O103" i="24" s="1"/>
  <c r="BW103" i="24" s="1"/>
  <c r="T13" i="24"/>
  <c r="O13" i="24" s="1"/>
  <c r="BW13" i="24" s="1"/>
  <c r="T47" i="24"/>
  <c r="O47" i="24" s="1"/>
  <c r="BW47" i="24" s="1"/>
  <c r="T34" i="24"/>
  <c r="O34" i="24" s="1"/>
  <c r="BW34" i="24" s="1"/>
  <c r="T43" i="24"/>
  <c r="O43" i="24" s="1"/>
  <c r="BW43" i="24" s="1"/>
  <c r="T52" i="24"/>
  <c r="O52" i="24" s="1"/>
  <c r="BW52" i="24" s="1"/>
  <c r="T6" i="24"/>
  <c r="O6" i="24" s="1"/>
  <c r="BW6" i="24" s="1"/>
  <c r="T26" i="24"/>
  <c r="O26" i="24" s="1"/>
  <c r="BW26" i="24" s="1"/>
  <c r="T35" i="24"/>
  <c r="O35" i="24" s="1"/>
  <c r="BW35" i="24" s="1"/>
  <c r="T44" i="24"/>
  <c r="O44" i="24" s="1"/>
  <c r="BW44" i="24" s="1"/>
  <c r="T22" i="24"/>
  <c r="O22" i="24" s="1"/>
  <c r="BW22" i="24" s="1"/>
  <c r="P79" i="24"/>
  <c r="P28" i="24"/>
  <c r="T62" i="24"/>
  <c r="O62" i="24" s="1"/>
  <c r="BW62" i="24" s="1"/>
  <c r="AP53" i="24"/>
  <c r="T71" i="24"/>
  <c r="O71" i="24" s="1"/>
  <c r="BW71" i="24" s="1"/>
  <c r="T80" i="24"/>
  <c r="O80" i="24" s="1"/>
  <c r="BW80" i="24" s="1"/>
  <c r="T102" i="24"/>
  <c r="O102" i="24" s="1"/>
  <c r="BW102" i="24" s="1"/>
  <c r="T77" i="24"/>
  <c r="O77" i="24" s="1"/>
  <c r="BW77" i="24" s="1"/>
  <c r="T11" i="24"/>
  <c r="O11" i="24" s="1"/>
  <c r="BW11" i="24" s="1"/>
  <c r="T20" i="24"/>
  <c r="O20" i="24" s="1"/>
  <c r="BW20" i="24" s="1"/>
  <c r="T65" i="24"/>
  <c r="O65" i="24" s="1"/>
  <c r="BW65" i="24" s="1"/>
  <c r="T45" i="24"/>
  <c r="O45" i="24" s="1"/>
  <c r="BW45" i="24" s="1"/>
  <c r="T93" i="24"/>
  <c r="O93" i="24" s="1"/>
  <c r="BW93" i="24" s="1"/>
  <c r="T12" i="24"/>
  <c r="O12" i="24" s="1"/>
  <c r="BW12" i="24" s="1"/>
  <c r="T49" i="24"/>
  <c r="O49" i="24" s="1"/>
  <c r="BW49" i="24" s="1"/>
  <c r="P53" i="24"/>
  <c r="P64" i="24"/>
  <c r="P68" i="24"/>
  <c r="P63" i="24"/>
  <c r="P10" i="24"/>
  <c r="AI5" i="24"/>
  <c r="R5" i="24"/>
  <c r="X110" i="24"/>
  <c r="AA110" i="24" s="1"/>
  <c r="AB110" i="24" s="1"/>
  <c r="AC110" i="24" s="1"/>
  <c r="AP110" i="24"/>
  <c r="AE5" i="24"/>
  <c r="AF5" i="24" s="1"/>
  <c r="CB162" i="25"/>
  <c r="R110" i="25"/>
  <c r="AO216" i="25"/>
  <c r="AP216" i="24"/>
  <c r="Q216" i="25"/>
  <c r="CB216" i="25" s="1"/>
  <c r="R216" i="25"/>
  <c r="K77" i="23"/>
  <c r="M77" i="23" s="1"/>
  <c r="CB131" i="25"/>
  <c r="CB113" i="25"/>
  <c r="X5" i="24"/>
  <c r="AA5" i="24" s="1"/>
  <c r="AB5" i="24" s="1"/>
  <c r="AC5" i="24" s="1"/>
  <c r="CB137" i="25"/>
  <c r="CB120" i="25"/>
  <c r="CB133" i="25"/>
  <c r="CB112" i="25"/>
  <c r="CB117" i="25"/>
  <c r="CB122" i="25"/>
  <c r="CB124" i="25"/>
  <c r="AO110" i="25"/>
  <c r="CB118" i="25"/>
  <c r="CB114" i="25"/>
  <c r="S110" i="25"/>
  <c r="K110" i="25" s="1"/>
  <c r="AD110" i="25" s="1"/>
  <c r="AE110" i="25" s="1"/>
  <c r="P216" i="24"/>
  <c r="CB216" i="24" s="1"/>
  <c r="B201" i="2"/>
  <c r="BW103" i="25"/>
  <c r="BW91" i="25"/>
  <c r="BW102" i="25"/>
  <c r="BW49" i="25"/>
  <c r="BW90" i="25"/>
  <c r="BW105" i="25"/>
  <c r="BW101" i="25"/>
  <c r="BW97" i="25"/>
  <c r="BW93" i="25"/>
  <c r="BW5" i="25"/>
  <c r="R5" i="25"/>
  <c r="BW104" i="25"/>
  <c r="BW96" i="25"/>
  <c r="BW63" i="25"/>
  <c r="BW47" i="25"/>
  <c r="BW27" i="25"/>
  <c r="BW77" i="25"/>
  <c r="BW57" i="25"/>
  <c r="BW25" i="25"/>
  <c r="BW6" i="25"/>
  <c r="BW69" i="25"/>
  <c r="BW21" i="25"/>
  <c r="BW35" i="25"/>
  <c r="BW22" i="25"/>
  <c r="BW60" i="25"/>
  <c r="BW24" i="25"/>
  <c r="BW38" i="25"/>
  <c r="BW18" i="25"/>
  <c r="BW71" i="25"/>
  <c r="BW39" i="25"/>
  <c r="BW65" i="25"/>
  <c r="BW33" i="25"/>
  <c r="BW43" i="25"/>
  <c r="BW73" i="25"/>
  <c r="BW17" i="25"/>
  <c r="BW74" i="25"/>
  <c r="BW34" i="25"/>
  <c r="S5" i="25"/>
  <c r="K5" i="25" s="1"/>
  <c r="AD5" i="25" s="1"/>
  <c r="AE5" i="25" s="1"/>
  <c r="BW95" i="25"/>
  <c r="BW94" i="25"/>
  <c r="BW59" i="25"/>
  <c r="BW9" i="25"/>
  <c r="BW54" i="25"/>
  <c r="BW100" i="25"/>
  <c r="BW92" i="25"/>
  <c r="BW83" i="25"/>
  <c r="BW67" i="25"/>
  <c r="BW51" i="25"/>
  <c r="BW31" i="25"/>
  <c r="BW15" i="25"/>
  <c r="BW85" i="25"/>
  <c r="BW61" i="25"/>
  <c r="BW29" i="25"/>
  <c r="BW82" i="25"/>
  <c r="BW81" i="25"/>
  <c r="BW41" i="25"/>
  <c r="BW36" i="25"/>
  <c r="BW26" i="25"/>
  <c r="BW79" i="25"/>
  <c r="BW10" i="25"/>
  <c r="BW78" i="25"/>
  <c r="BW62" i="25"/>
  <c r="BW80" i="25"/>
  <c r="BW64" i="25"/>
  <c r="BW48" i="25"/>
  <c r="BW28" i="25"/>
  <c r="BW12" i="25"/>
  <c r="BW42" i="25"/>
  <c r="BW87" i="25"/>
  <c r="BW55" i="25"/>
  <c r="BW19" i="25"/>
  <c r="BW13" i="25"/>
  <c r="BW89" i="25"/>
  <c r="BW45" i="25"/>
  <c r="BW37" i="25"/>
  <c r="BW75" i="25"/>
  <c r="BW23" i="25"/>
  <c r="BW76" i="25"/>
  <c r="BW44" i="25"/>
  <c r="BW58" i="25"/>
  <c r="Q5" i="25"/>
  <c r="BW99" i="25"/>
  <c r="BW53" i="25"/>
  <c r="BW11" i="25"/>
  <c r="BW7" i="25"/>
  <c r="BW66" i="25"/>
  <c r="BW84" i="25"/>
  <c r="BW68" i="25"/>
  <c r="BW52" i="25"/>
  <c r="BW32" i="25"/>
  <c r="BW16" i="25"/>
  <c r="BW46" i="25"/>
  <c r="BW8" i="25"/>
  <c r="BW86" i="25"/>
  <c r="BW70" i="25"/>
  <c r="BW88" i="25"/>
  <c r="BW72" i="25"/>
  <c r="BW56" i="25"/>
  <c r="BW40" i="25"/>
  <c r="BW20" i="25"/>
  <c r="BW50" i="25"/>
  <c r="BW30" i="25"/>
  <c r="BW14" i="25"/>
  <c r="BW98" i="25"/>
  <c r="AO5" i="25"/>
  <c r="BK6" i="19"/>
  <c r="BB6" i="19"/>
  <c r="BH7" i="19"/>
  <c r="BF6" i="19"/>
  <c r="BK7" i="19"/>
  <c r="BS7" i="19"/>
  <c r="BF9" i="19"/>
  <c r="BH9" i="19"/>
  <c r="BD9" i="19"/>
  <c r="BA6" i="19"/>
  <c r="BI6" i="19"/>
  <c r="BD6" i="19"/>
  <c r="AZ7" i="19"/>
  <c r="BL7" i="19" s="1"/>
  <c r="BM7" i="19" s="1"/>
  <c r="BZ7" i="19" s="1"/>
  <c r="BG7" i="19"/>
  <c r="BJ7" i="19"/>
  <c r="BS6" i="19"/>
  <c r="AZ6" i="19"/>
  <c r="BL6" i="19" s="1"/>
  <c r="BM6" i="19" s="1"/>
  <c r="BZ6" i="19" s="1"/>
  <c r="BG6" i="19"/>
  <c r="BB7" i="19"/>
  <c r="BF7" i="19"/>
  <c r="BA7" i="19"/>
  <c r="BC6" i="19"/>
  <c r="BH6" i="19"/>
  <c r="BE6" i="19"/>
  <c r="BE7" i="19"/>
  <c r="BI7" i="19"/>
  <c r="BB9" i="19"/>
  <c r="BI9" i="19"/>
  <c r="BB8" i="19"/>
  <c r="BS8" i="19"/>
  <c r="BJ9" i="19"/>
  <c r="BS9" i="19"/>
  <c r="BK8" i="19"/>
  <c r="AZ9" i="19"/>
  <c r="BL9" i="19" s="1"/>
  <c r="BM9" i="19" s="1"/>
  <c r="BZ9" i="19" s="1"/>
  <c r="BD8" i="19"/>
  <c r="BE8" i="19"/>
  <c r="BG8" i="19"/>
  <c r="BE9" i="19"/>
  <c r="BA9" i="19"/>
  <c r="BG9" i="19"/>
  <c r="BH8" i="19"/>
  <c r="BI8" i="19"/>
  <c r="BF8" i="19"/>
  <c r="AZ8" i="19"/>
  <c r="BL8" i="19" s="1"/>
  <c r="BM8" i="19" s="1"/>
  <c r="BZ8" i="19" s="1"/>
  <c r="BK9" i="19"/>
  <c r="BC9" i="19"/>
  <c r="BA8" i="19"/>
  <c r="BJ8" i="19"/>
  <c r="AD216" i="25"/>
  <c r="AE216" i="25" s="1"/>
  <c r="W216" i="25"/>
  <c r="Z216" i="25" s="1"/>
  <c r="AA216" i="25" s="1"/>
  <c r="AB216" i="25" s="1"/>
  <c r="V216" i="25"/>
  <c r="X216" i="25" s="1"/>
  <c r="AD289" i="25"/>
  <c r="AE289" i="25" s="1"/>
  <c r="W289" i="25"/>
  <c r="Z289" i="25" s="1"/>
  <c r="AA289" i="25" s="1"/>
  <c r="AB289" i="25" s="1"/>
  <c r="AD253" i="25"/>
  <c r="AE253" i="25" s="1"/>
  <c r="W253" i="25"/>
  <c r="Z253" i="25" s="1"/>
  <c r="AA253" i="25" s="1"/>
  <c r="AB253" i="25" s="1"/>
  <c r="AO266" i="25"/>
  <c r="V205" i="25"/>
  <c r="U205" i="25"/>
  <c r="AD247" i="25"/>
  <c r="AE247" i="25" s="1"/>
  <c r="W247" i="25"/>
  <c r="Z247" i="25" s="1"/>
  <c r="AA247" i="25" s="1"/>
  <c r="AB247" i="25" s="1"/>
  <c r="AO182" i="25"/>
  <c r="AO185" i="25"/>
  <c r="AO153" i="25"/>
  <c r="AO273" i="25"/>
  <c r="U219" i="25"/>
  <c r="V219" i="25"/>
  <c r="AO83" i="25"/>
  <c r="AO85" i="25"/>
  <c r="AO29" i="25"/>
  <c r="W66" i="25"/>
  <c r="Z66" i="25" s="1"/>
  <c r="AA66" i="25" s="1"/>
  <c r="AB66" i="25" s="1"/>
  <c r="AD66" i="25"/>
  <c r="AE66" i="25" s="1"/>
  <c r="W68" i="25"/>
  <c r="Z68" i="25" s="1"/>
  <c r="AA68" i="25" s="1"/>
  <c r="AB68" i="25" s="1"/>
  <c r="AD68" i="25"/>
  <c r="AE68" i="25" s="1"/>
  <c r="AD16" i="25"/>
  <c r="AE16" i="25" s="1"/>
  <c r="W16" i="25"/>
  <c r="Z16" i="25" s="1"/>
  <c r="AA16" i="25" s="1"/>
  <c r="AB16" i="25" s="1"/>
  <c r="W36" i="25"/>
  <c r="Z36" i="25" s="1"/>
  <c r="AA36" i="25" s="1"/>
  <c r="AB36" i="25" s="1"/>
  <c r="AD36" i="25"/>
  <c r="AE36" i="25" s="1"/>
  <c r="AO36" i="25"/>
  <c r="U292" i="25"/>
  <c r="V292" i="25"/>
  <c r="AO265" i="25"/>
  <c r="V299" i="25"/>
  <c r="U299" i="25"/>
  <c r="AD282" i="25"/>
  <c r="AE282" i="25" s="1"/>
  <c r="W282" i="25"/>
  <c r="Z282" i="25" s="1"/>
  <c r="AA282" i="25" s="1"/>
  <c r="AB282" i="25" s="1"/>
  <c r="AO143" i="25"/>
  <c r="AO268" i="25"/>
  <c r="U260" i="25"/>
  <c r="V260" i="25"/>
  <c r="AO252" i="25"/>
  <c r="AD194" i="25"/>
  <c r="AE194" i="25" s="1"/>
  <c r="W194" i="25"/>
  <c r="Z194" i="25" s="1"/>
  <c r="AA194" i="25" s="1"/>
  <c r="AB194" i="25" s="1"/>
  <c r="AD162" i="25"/>
  <c r="AE162" i="25" s="1"/>
  <c r="W162" i="25"/>
  <c r="Z162" i="25" s="1"/>
  <c r="AA162" i="25" s="1"/>
  <c r="AB162" i="25" s="1"/>
  <c r="V192" i="25"/>
  <c r="U192" i="25"/>
  <c r="W168" i="25"/>
  <c r="Z168" i="25" s="1"/>
  <c r="AA168" i="25" s="1"/>
  <c r="AB168" i="25" s="1"/>
  <c r="AD168" i="25"/>
  <c r="AE168" i="25" s="1"/>
  <c r="V144" i="25"/>
  <c r="U144" i="25"/>
  <c r="AD95" i="25"/>
  <c r="AE95" i="25" s="1"/>
  <c r="W95" i="25"/>
  <c r="Z95" i="25" s="1"/>
  <c r="AA95" i="25" s="1"/>
  <c r="AB95" i="25" s="1"/>
  <c r="V62" i="25"/>
  <c r="U62" i="25"/>
  <c r="AD261" i="25"/>
  <c r="AE261" i="25" s="1"/>
  <c r="W261" i="25"/>
  <c r="Z261" i="25" s="1"/>
  <c r="AA261" i="25" s="1"/>
  <c r="AB261" i="25" s="1"/>
  <c r="AD127" i="25"/>
  <c r="AE127" i="25" s="1"/>
  <c r="W127" i="25"/>
  <c r="Z127" i="25" s="1"/>
  <c r="AA127" i="25" s="1"/>
  <c r="AB127" i="25" s="1"/>
  <c r="W90" i="25"/>
  <c r="Z90" i="25" s="1"/>
  <c r="AA90" i="25" s="1"/>
  <c r="AB90" i="25" s="1"/>
  <c r="AD90" i="25"/>
  <c r="AE90" i="25" s="1"/>
  <c r="W314" i="25"/>
  <c r="Z314" i="25" s="1"/>
  <c r="AA314" i="25" s="1"/>
  <c r="AB314" i="25" s="1"/>
  <c r="AD314" i="25"/>
  <c r="AE314" i="25" s="1"/>
  <c r="V311" i="25"/>
  <c r="U311" i="25"/>
  <c r="U296" i="25"/>
  <c r="V296" i="25"/>
  <c r="W313" i="25"/>
  <c r="Z313" i="25" s="1"/>
  <c r="AA313" i="25" s="1"/>
  <c r="AD313" i="25"/>
  <c r="AE313" i="25" s="1"/>
  <c r="V313" i="25"/>
  <c r="U313" i="25"/>
  <c r="V280" i="25"/>
  <c r="U280" i="25"/>
  <c r="AD286" i="25"/>
  <c r="AE286" i="25" s="1"/>
  <c r="W286" i="25"/>
  <c r="Z286" i="25" s="1"/>
  <c r="AA286" i="25" s="1"/>
  <c r="AB286" i="25" s="1"/>
  <c r="AO286" i="25"/>
  <c r="AO200" i="25"/>
  <c r="U234" i="25"/>
  <c r="V234" i="25"/>
  <c r="AD298" i="25"/>
  <c r="AE298" i="25" s="1"/>
  <c r="W298" i="25"/>
  <c r="Z298" i="25" s="1"/>
  <c r="AA298" i="25" s="1"/>
  <c r="AB298" i="25" s="1"/>
  <c r="AO298" i="25"/>
  <c r="AD195" i="25"/>
  <c r="AE195" i="25" s="1"/>
  <c r="W195" i="25"/>
  <c r="Z195" i="25" s="1"/>
  <c r="AA195" i="25" s="1"/>
  <c r="AO179" i="25"/>
  <c r="AD163" i="25"/>
  <c r="AE163" i="25" s="1"/>
  <c r="W163" i="25"/>
  <c r="Z163" i="25" s="1"/>
  <c r="AA163" i="25" s="1"/>
  <c r="AO147" i="25"/>
  <c r="AD131" i="25"/>
  <c r="AE131" i="25" s="1"/>
  <c r="W131" i="25"/>
  <c r="Z131" i="25" s="1"/>
  <c r="AA131" i="25" s="1"/>
  <c r="U263" i="25"/>
  <c r="V263" i="25"/>
  <c r="AD255" i="25"/>
  <c r="AE255" i="25" s="1"/>
  <c r="W255" i="25"/>
  <c r="Z255" i="25" s="1"/>
  <c r="AA255" i="25" s="1"/>
  <c r="AB255" i="25" s="1"/>
  <c r="AO255" i="25"/>
  <c r="U229" i="25"/>
  <c r="V229" i="25"/>
  <c r="AD198" i="25"/>
  <c r="AE198" i="25" s="1"/>
  <c r="W198" i="25"/>
  <c r="Z198" i="25" s="1"/>
  <c r="AA198" i="25" s="1"/>
  <c r="AB198" i="25" s="1"/>
  <c r="U198" i="25"/>
  <c r="V198" i="25"/>
  <c r="AD166" i="25"/>
  <c r="AE166" i="25" s="1"/>
  <c r="W166" i="25"/>
  <c r="Z166" i="25" s="1"/>
  <c r="AA166" i="25" s="1"/>
  <c r="AB166" i="25" s="1"/>
  <c r="U166" i="25"/>
  <c r="V166" i="25"/>
  <c r="AD134" i="25"/>
  <c r="AE134" i="25" s="1"/>
  <c r="W134" i="25"/>
  <c r="Z134" i="25" s="1"/>
  <c r="AA134" i="25" s="1"/>
  <c r="AB134" i="25" s="1"/>
  <c r="U134" i="25"/>
  <c r="V134" i="25"/>
  <c r="U193" i="25"/>
  <c r="V193" i="25"/>
  <c r="AD185" i="25"/>
  <c r="AE185" i="25" s="1"/>
  <c r="W185" i="25"/>
  <c r="Z185" i="25" s="1"/>
  <c r="AA185" i="25" s="1"/>
  <c r="AB185" i="25" s="1"/>
  <c r="U177" i="25"/>
  <c r="V177" i="25"/>
  <c r="AD169" i="25"/>
  <c r="AE169" i="25" s="1"/>
  <c r="W169" i="25"/>
  <c r="Z169" i="25" s="1"/>
  <c r="AA169" i="25" s="1"/>
  <c r="AB169" i="25" s="1"/>
  <c r="U161" i="25"/>
  <c r="V161" i="25"/>
  <c r="AD153" i="25"/>
  <c r="AE153" i="25" s="1"/>
  <c r="W153" i="25"/>
  <c r="Z153" i="25" s="1"/>
  <c r="AA153" i="25" s="1"/>
  <c r="AB153" i="25" s="1"/>
  <c r="U145" i="25"/>
  <c r="V145" i="25"/>
  <c r="AD137" i="25"/>
  <c r="AE137" i="25" s="1"/>
  <c r="W137" i="25"/>
  <c r="Z137" i="25" s="1"/>
  <c r="AA137" i="25" s="1"/>
  <c r="AB137" i="25" s="1"/>
  <c r="U129" i="25"/>
  <c r="V129" i="25"/>
  <c r="AD119" i="25"/>
  <c r="AE119" i="25" s="1"/>
  <c r="W119" i="25"/>
  <c r="Z119" i="25" s="1"/>
  <c r="AA119" i="25" s="1"/>
  <c r="AO119" i="25"/>
  <c r="V104" i="25"/>
  <c r="U104" i="25"/>
  <c r="V100" i="25"/>
  <c r="U100" i="25"/>
  <c r="V96" i="25"/>
  <c r="U96" i="25"/>
  <c r="V92" i="25"/>
  <c r="U92" i="25"/>
  <c r="U227" i="25"/>
  <c r="V227" i="25"/>
  <c r="AD219" i="25"/>
  <c r="AE219" i="25" s="1"/>
  <c r="W219" i="25"/>
  <c r="Z219" i="25" s="1"/>
  <c r="AA219" i="25" s="1"/>
  <c r="AO219" i="25"/>
  <c r="AO118" i="25"/>
  <c r="AO67" i="25"/>
  <c r="AO51" i="25"/>
  <c r="AO31" i="25"/>
  <c r="V31" i="25"/>
  <c r="U31" i="25"/>
  <c r="AO15" i="25"/>
  <c r="V85" i="25"/>
  <c r="U85" i="25"/>
  <c r="V61" i="25"/>
  <c r="U61" i="25"/>
  <c r="V29" i="25"/>
  <c r="U29" i="25"/>
  <c r="V302" i="25"/>
  <c r="U302" i="25"/>
  <c r="AD292" i="25"/>
  <c r="AE292" i="25" s="1"/>
  <c r="W292" i="25"/>
  <c r="Z292" i="25" s="1"/>
  <c r="AA292" i="25" s="1"/>
  <c r="AB292" i="25" s="1"/>
  <c r="AO292" i="25"/>
  <c r="AO312" i="25"/>
  <c r="V271" i="25"/>
  <c r="U271" i="25"/>
  <c r="AD276" i="25"/>
  <c r="AE276" i="25" s="1"/>
  <c r="W276" i="25"/>
  <c r="Z276" i="25" s="1"/>
  <c r="AA276" i="25" s="1"/>
  <c r="AB276" i="25" s="1"/>
  <c r="AO276" i="25"/>
  <c r="U233" i="25"/>
  <c r="V233" i="25"/>
  <c r="AD299" i="25"/>
  <c r="AE299" i="25" s="1"/>
  <c r="W299" i="25"/>
  <c r="Z299" i="25" s="1"/>
  <c r="AA299" i="25" s="1"/>
  <c r="U210" i="25"/>
  <c r="V210" i="25"/>
  <c r="AD202" i="25"/>
  <c r="AE202" i="25" s="1"/>
  <c r="W202" i="25"/>
  <c r="Z202" i="25" s="1"/>
  <c r="AA202" i="25" s="1"/>
  <c r="AB202" i="25" s="1"/>
  <c r="V191" i="25"/>
  <c r="U191" i="25"/>
  <c r="AD175" i="25"/>
  <c r="AE175" i="25" s="1"/>
  <c r="W175" i="25"/>
  <c r="Z175" i="25" s="1"/>
  <c r="AA175" i="25" s="1"/>
  <c r="V159" i="25"/>
  <c r="U159" i="25"/>
  <c r="AD143" i="25"/>
  <c r="AE143" i="25" s="1"/>
  <c r="W143" i="25"/>
  <c r="Z143" i="25" s="1"/>
  <c r="AA143" i="25" s="1"/>
  <c r="AD260" i="25"/>
  <c r="AE260" i="25" s="1"/>
  <c r="W260" i="25"/>
  <c r="Z260" i="25" s="1"/>
  <c r="AA260" i="25" s="1"/>
  <c r="AO260" i="25"/>
  <c r="U236" i="25"/>
  <c r="V236" i="25"/>
  <c r="AD225" i="25"/>
  <c r="AE225" i="25" s="1"/>
  <c r="W225" i="25"/>
  <c r="Z225" i="25" s="1"/>
  <c r="AA225" i="25" s="1"/>
  <c r="AO225" i="25"/>
  <c r="AO194" i="25"/>
  <c r="AO162" i="25"/>
  <c r="AD130" i="25"/>
  <c r="AE130" i="25" s="1"/>
  <c r="W130" i="25"/>
  <c r="Z130" i="25" s="1"/>
  <c r="AA130" i="25" s="1"/>
  <c r="AO192" i="25"/>
  <c r="AO160" i="25"/>
  <c r="AD99" i="25"/>
  <c r="AE99" i="25" s="1"/>
  <c r="W99" i="25"/>
  <c r="Z99" i="25" s="1"/>
  <c r="AA99" i="25" s="1"/>
  <c r="AB99" i="25" s="1"/>
  <c r="AD91" i="25"/>
  <c r="AE91" i="25" s="1"/>
  <c r="W91" i="25"/>
  <c r="Z91" i="25" s="1"/>
  <c r="AA91" i="25" s="1"/>
  <c r="AB91" i="25" s="1"/>
  <c r="V57" i="25"/>
  <c r="U57" i="25"/>
  <c r="V64" i="25"/>
  <c r="U64" i="25"/>
  <c r="AO291" i="25"/>
  <c r="AD171" i="25"/>
  <c r="AE171" i="25" s="1"/>
  <c r="W171" i="25"/>
  <c r="Z171" i="25" s="1"/>
  <c r="AA171" i="25" s="1"/>
  <c r="AB171" i="25" s="1"/>
  <c r="W278" i="25"/>
  <c r="Z278" i="25" s="1"/>
  <c r="AA278" i="25" s="1"/>
  <c r="AB278" i="25" s="1"/>
  <c r="AD278" i="25"/>
  <c r="AE278" i="25" s="1"/>
  <c r="U181" i="25"/>
  <c r="V181" i="25"/>
  <c r="U149" i="25"/>
  <c r="V149" i="25"/>
  <c r="U117" i="25"/>
  <c r="V117" i="25"/>
  <c r="AD60" i="25"/>
  <c r="AE60" i="25" s="1"/>
  <c r="W60" i="25"/>
  <c r="Z60" i="25" s="1"/>
  <c r="AA60" i="25" s="1"/>
  <c r="AB60" i="25" s="1"/>
  <c r="W24" i="25"/>
  <c r="Z24" i="25" s="1"/>
  <c r="AA24" i="25" s="1"/>
  <c r="AB24" i="25" s="1"/>
  <c r="AD24" i="25"/>
  <c r="AE24" i="25" s="1"/>
  <c r="AO283" i="25"/>
  <c r="V188" i="25"/>
  <c r="U188" i="25"/>
  <c r="AD75" i="25"/>
  <c r="AE75" i="25" s="1"/>
  <c r="W75" i="25"/>
  <c r="Z75" i="25" s="1"/>
  <c r="AA75" i="25" s="1"/>
  <c r="AB75" i="25" s="1"/>
  <c r="AD303" i="25"/>
  <c r="AE303" i="25" s="1"/>
  <c r="W303" i="25"/>
  <c r="Z303" i="25" s="1"/>
  <c r="AA303" i="25" s="1"/>
  <c r="AO313" i="25"/>
  <c r="U286" i="25"/>
  <c r="V286" i="25"/>
  <c r="AO253" i="25"/>
  <c r="AD220" i="25"/>
  <c r="AE220" i="25" s="1"/>
  <c r="W220" i="25"/>
  <c r="Z220" i="25" s="1"/>
  <c r="AA220" i="25" s="1"/>
  <c r="AB220" i="25" s="1"/>
  <c r="V195" i="25"/>
  <c r="U195" i="25"/>
  <c r="V163" i="25"/>
  <c r="U163" i="25"/>
  <c r="V131" i="25"/>
  <c r="U131" i="25"/>
  <c r="AO270" i="25"/>
  <c r="U255" i="25"/>
  <c r="V255" i="25"/>
  <c r="AO137" i="25"/>
  <c r="AD118" i="25"/>
  <c r="AE118" i="25" s="1"/>
  <c r="W118" i="25"/>
  <c r="Z118" i="25" s="1"/>
  <c r="AA118" i="25" s="1"/>
  <c r="V15" i="25"/>
  <c r="U15" i="25"/>
  <c r="W82" i="25"/>
  <c r="Z82" i="25" s="1"/>
  <c r="AA82" i="25" s="1"/>
  <c r="AB82" i="25" s="1"/>
  <c r="AD82" i="25"/>
  <c r="AE82" i="25" s="1"/>
  <c r="AO66" i="25"/>
  <c r="W52" i="25"/>
  <c r="Z52" i="25" s="1"/>
  <c r="AA52" i="25" s="1"/>
  <c r="AB52" i="25" s="1"/>
  <c r="AD52" i="25"/>
  <c r="AE52" i="25" s="1"/>
  <c r="AD81" i="25"/>
  <c r="AE81" i="25" s="1"/>
  <c r="W81" i="25"/>
  <c r="Z81" i="25" s="1"/>
  <c r="AA81" i="25" s="1"/>
  <c r="AB81" i="25" s="1"/>
  <c r="AD41" i="25"/>
  <c r="AE41" i="25" s="1"/>
  <c r="W41" i="25"/>
  <c r="Z41" i="25" s="1"/>
  <c r="AA41" i="25" s="1"/>
  <c r="AB41" i="25" s="1"/>
  <c r="W310" i="25"/>
  <c r="Z310" i="25" s="1"/>
  <c r="AA310" i="25" s="1"/>
  <c r="AB310" i="25" s="1"/>
  <c r="AD310" i="25"/>
  <c r="AE310" i="25" s="1"/>
  <c r="AO302" i="25"/>
  <c r="AD312" i="25"/>
  <c r="AE312" i="25" s="1"/>
  <c r="W312" i="25"/>
  <c r="Z312" i="25" s="1"/>
  <c r="AA312" i="25" s="1"/>
  <c r="AB312" i="25" s="1"/>
  <c r="AD265" i="25"/>
  <c r="AE265" i="25" s="1"/>
  <c r="W265" i="25"/>
  <c r="Z265" i="25" s="1"/>
  <c r="AA265" i="25" s="1"/>
  <c r="AB265" i="25" s="1"/>
  <c r="AO299" i="25"/>
  <c r="AO262" i="25"/>
  <c r="AO282" i="25"/>
  <c r="AO202" i="25"/>
  <c r="AO175" i="25"/>
  <c r="AD252" i="25"/>
  <c r="AE252" i="25" s="1"/>
  <c r="W252" i="25"/>
  <c r="Z252" i="25" s="1"/>
  <c r="AA252" i="25" s="1"/>
  <c r="U194" i="25"/>
  <c r="V194" i="25"/>
  <c r="AO130" i="25"/>
  <c r="W176" i="25"/>
  <c r="Z176" i="25" s="1"/>
  <c r="AA176" i="25" s="1"/>
  <c r="AD176" i="25"/>
  <c r="AE176" i="25" s="1"/>
  <c r="V160" i="25"/>
  <c r="U160" i="25"/>
  <c r="V128" i="25"/>
  <c r="U128" i="25"/>
  <c r="V103" i="25"/>
  <c r="U103" i="25"/>
  <c r="AO63" i="25"/>
  <c r="V77" i="25"/>
  <c r="U77" i="25"/>
  <c r="AO288" i="25"/>
  <c r="U221" i="25"/>
  <c r="V221" i="25"/>
  <c r="AD165" i="25"/>
  <c r="AE165" i="25" s="1"/>
  <c r="W165" i="25"/>
  <c r="Z165" i="25" s="1"/>
  <c r="AA165" i="25" s="1"/>
  <c r="AB165" i="25" s="1"/>
  <c r="V94" i="25"/>
  <c r="U94" i="25"/>
  <c r="W9" i="25"/>
  <c r="Z9" i="25" s="1"/>
  <c r="AA9" i="25" s="1"/>
  <c r="AB9" i="25" s="1"/>
  <c r="AD9" i="25"/>
  <c r="AE9" i="25" s="1"/>
  <c r="V314" i="25"/>
  <c r="U314" i="25"/>
  <c r="V303" i="25"/>
  <c r="U303" i="25"/>
  <c r="W311" i="25"/>
  <c r="Z311" i="25" s="1"/>
  <c r="AA311" i="25" s="1"/>
  <c r="AD311" i="25"/>
  <c r="AE311" i="25" s="1"/>
  <c r="AO311" i="25"/>
  <c r="U289" i="25"/>
  <c r="V289" i="25"/>
  <c r="W275" i="25"/>
  <c r="Z275" i="25" s="1"/>
  <c r="AA275" i="25" s="1"/>
  <c r="AB275" i="25" s="1"/>
  <c r="AD275" i="25"/>
  <c r="AE275" i="25" s="1"/>
  <c r="U253" i="25"/>
  <c r="V253" i="25"/>
  <c r="AD237" i="25"/>
  <c r="AE237" i="25" s="1"/>
  <c r="W237" i="25"/>
  <c r="Z237" i="25" s="1"/>
  <c r="AA237" i="25" s="1"/>
  <c r="AO237" i="25"/>
  <c r="V200" i="25"/>
  <c r="U200" i="25"/>
  <c r="U266" i="25"/>
  <c r="V266" i="25"/>
  <c r="AD250" i="25"/>
  <c r="AE250" i="25" s="1"/>
  <c r="W250" i="25"/>
  <c r="Z250" i="25" s="1"/>
  <c r="AA250" i="25" s="1"/>
  <c r="AO250" i="25"/>
  <c r="U220" i="25"/>
  <c r="V220" i="25"/>
  <c r="W205" i="25"/>
  <c r="Z205" i="25" s="1"/>
  <c r="AA205" i="25" s="1"/>
  <c r="AB205" i="25" s="1"/>
  <c r="AD205" i="25"/>
  <c r="AE205" i="25" s="1"/>
  <c r="AO195" i="25"/>
  <c r="AD179" i="25"/>
  <c r="AE179" i="25" s="1"/>
  <c r="W179" i="25"/>
  <c r="Z179" i="25" s="1"/>
  <c r="AA179" i="25" s="1"/>
  <c r="AO163" i="25"/>
  <c r="AD147" i="25"/>
  <c r="AE147" i="25" s="1"/>
  <c r="W147" i="25"/>
  <c r="Z147" i="25" s="1"/>
  <c r="AA147" i="25" s="1"/>
  <c r="AO131" i="25"/>
  <c r="W270" i="25"/>
  <c r="Z270" i="25" s="1"/>
  <c r="AA270" i="25" s="1"/>
  <c r="AD270" i="25"/>
  <c r="AE270" i="25" s="1"/>
  <c r="V270" i="25"/>
  <c r="U270" i="25"/>
  <c r="U247" i="25"/>
  <c r="V247" i="25"/>
  <c r="AD239" i="25"/>
  <c r="AE239" i="25" s="1"/>
  <c r="W239" i="25"/>
  <c r="Z239" i="25" s="1"/>
  <c r="AA239" i="25" s="1"/>
  <c r="AO239" i="25"/>
  <c r="AD182" i="25"/>
  <c r="AE182" i="25" s="1"/>
  <c r="W182" i="25"/>
  <c r="Z182" i="25" s="1"/>
  <c r="AA182" i="25" s="1"/>
  <c r="AB182" i="25" s="1"/>
  <c r="U182" i="25"/>
  <c r="V182" i="25"/>
  <c r="AD150" i="25"/>
  <c r="AE150" i="25" s="1"/>
  <c r="W150" i="25"/>
  <c r="Z150" i="25" s="1"/>
  <c r="AA150" i="25" s="1"/>
  <c r="AB150" i="25" s="1"/>
  <c r="U150" i="25"/>
  <c r="V150" i="25"/>
  <c r="AD193" i="25"/>
  <c r="AE193" i="25" s="1"/>
  <c r="W193" i="25"/>
  <c r="Z193" i="25" s="1"/>
  <c r="AA193" i="25" s="1"/>
  <c r="U185" i="25"/>
  <c r="V185" i="25"/>
  <c r="AD177" i="25"/>
  <c r="AE177" i="25" s="1"/>
  <c r="W177" i="25"/>
  <c r="Z177" i="25" s="1"/>
  <c r="AA177" i="25" s="1"/>
  <c r="U169" i="25"/>
  <c r="V169" i="25"/>
  <c r="AD161" i="25"/>
  <c r="AE161" i="25" s="1"/>
  <c r="W161" i="25"/>
  <c r="Z161" i="25" s="1"/>
  <c r="AA161" i="25" s="1"/>
  <c r="U153" i="25"/>
  <c r="V153" i="25"/>
  <c r="AD145" i="25"/>
  <c r="AE145" i="25" s="1"/>
  <c r="W145" i="25"/>
  <c r="Z145" i="25" s="1"/>
  <c r="AA145" i="25" s="1"/>
  <c r="U137" i="25"/>
  <c r="V137" i="25"/>
  <c r="AD129" i="25"/>
  <c r="AE129" i="25" s="1"/>
  <c r="W129" i="25"/>
  <c r="Z129" i="25" s="1"/>
  <c r="AA129" i="25" s="1"/>
  <c r="AD104" i="25"/>
  <c r="AE104" i="25" s="1"/>
  <c r="W104" i="25"/>
  <c r="Z104" i="25" s="1"/>
  <c r="AA104" i="25" s="1"/>
  <c r="AB104" i="25" s="1"/>
  <c r="AD100" i="25"/>
  <c r="AE100" i="25" s="1"/>
  <c r="W100" i="25"/>
  <c r="Z100" i="25" s="1"/>
  <c r="AA100" i="25" s="1"/>
  <c r="AB100" i="25" s="1"/>
  <c r="AO100" i="25"/>
  <c r="AD96" i="25"/>
  <c r="AE96" i="25" s="1"/>
  <c r="W96" i="25"/>
  <c r="Z96" i="25" s="1"/>
  <c r="AA96" i="25" s="1"/>
  <c r="AB96" i="25" s="1"/>
  <c r="AD92" i="25"/>
  <c r="AE92" i="25" s="1"/>
  <c r="W92" i="25"/>
  <c r="Z92" i="25" s="1"/>
  <c r="AA92" i="25" s="1"/>
  <c r="AB92" i="25" s="1"/>
  <c r="AO92" i="25"/>
  <c r="AD273" i="25"/>
  <c r="AE273" i="25" s="1"/>
  <c r="W273" i="25"/>
  <c r="Z273" i="25" s="1"/>
  <c r="AA273" i="25" s="1"/>
  <c r="V67" i="25"/>
  <c r="U67" i="25"/>
  <c r="AO61" i="25"/>
  <c r="AO11" i="25"/>
  <c r="AO7" i="25"/>
  <c r="AO82" i="25"/>
  <c r="AO84" i="25"/>
  <c r="AO68" i="25"/>
  <c r="AO52" i="25"/>
  <c r="V32" i="25"/>
  <c r="U32" i="25"/>
  <c r="AO32" i="25"/>
  <c r="V16" i="25"/>
  <c r="U16" i="25"/>
  <c r="AO16" i="25"/>
  <c r="AO81" i="25"/>
  <c r="V81" i="25"/>
  <c r="U81" i="25"/>
  <c r="AO41" i="25"/>
  <c r="V41" i="25"/>
  <c r="U41" i="25"/>
  <c r="AO46" i="25"/>
  <c r="AO26" i="25"/>
  <c r="V310" i="25"/>
  <c r="U310" i="25"/>
  <c r="AD302" i="25"/>
  <c r="AE302" i="25" s="1"/>
  <c r="W302" i="25"/>
  <c r="Z302" i="25" s="1"/>
  <c r="AA302" i="25" s="1"/>
  <c r="V312" i="25"/>
  <c r="U312" i="25"/>
  <c r="AD285" i="25"/>
  <c r="AE285" i="25" s="1"/>
  <c r="W285" i="25"/>
  <c r="Z285" i="25" s="1"/>
  <c r="AA285" i="25" s="1"/>
  <c r="AO285" i="25"/>
  <c r="AO271" i="25"/>
  <c r="U265" i="25"/>
  <c r="V265" i="25"/>
  <c r="AD249" i="25"/>
  <c r="AE249" i="25" s="1"/>
  <c r="W249" i="25"/>
  <c r="Z249" i="25" s="1"/>
  <c r="AA249" i="25" s="1"/>
  <c r="AO249" i="25"/>
  <c r="U262" i="25"/>
  <c r="V262" i="25"/>
  <c r="AD246" i="25"/>
  <c r="AE246" i="25" s="1"/>
  <c r="W246" i="25"/>
  <c r="Z246" i="25" s="1"/>
  <c r="AA246" i="25" s="1"/>
  <c r="AO246" i="25"/>
  <c r="AO207" i="25"/>
  <c r="U282" i="25"/>
  <c r="V282" i="25"/>
  <c r="AD210" i="25"/>
  <c r="AE210" i="25" s="1"/>
  <c r="W210" i="25"/>
  <c r="Z210" i="25" s="1"/>
  <c r="AA210" i="25" s="1"/>
  <c r="U202" i="25"/>
  <c r="V202" i="25"/>
  <c r="AD191" i="25"/>
  <c r="AE191" i="25" s="1"/>
  <c r="W191" i="25"/>
  <c r="Z191" i="25" s="1"/>
  <c r="AA191" i="25" s="1"/>
  <c r="V175" i="25"/>
  <c r="U175" i="25"/>
  <c r="AD159" i="25"/>
  <c r="AE159" i="25" s="1"/>
  <c r="W159" i="25"/>
  <c r="Z159" i="25" s="1"/>
  <c r="AA159" i="25" s="1"/>
  <c r="V143" i="25"/>
  <c r="U143" i="25"/>
  <c r="AD287" i="25"/>
  <c r="AE287" i="25" s="1"/>
  <c r="W287" i="25"/>
  <c r="Z287" i="25" s="1"/>
  <c r="AA287" i="25" s="1"/>
  <c r="AO287" i="25"/>
  <c r="U268" i="25"/>
  <c r="V268" i="25"/>
  <c r="U252" i="25"/>
  <c r="V252" i="25"/>
  <c r="AD244" i="25"/>
  <c r="AE244" i="25" s="1"/>
  <c r="W244" i="25"/>
  <c r="Z244" i="25" s="1"/>
  <c r="AA244" i="25" s="1"/>
  <c r="AO244" i="25"/>
  <c r="AO178" i="25"/>
  <c r="U146" i="25"/>
  <c r="V146" i="25"/>
  <c r="U130" i="25"/>
  <c r="V130" i="25"/>
  <c r="AO176" i="25"/>
  <c r="AD103" i="25"/>
  <c r="AE103" i="25" s="1"/>
  <c r="W103" i="25"/>
  <c r="Z103" i="25" s="1"/>
  <c r="AA103" i="25" s="1"/>
  <c r="AB103" i="25" s="1"/>
  <c r="V91" i="25"/>
  <c r="U91" i="25"/>
  <c r="AD291" i="25"/>
  <c r="AE291" i="25" s="1"/>
  <c r="W291" i="25"/>
  <c r="Z291" i="25" s="1"/>
  <c r="AA291" i="25" s="1"/>
  <c r="AB291" i="25" s="1"/>
  <c r="V278" i="25"/>
  <c r="U278" i="25"/>
  <c r="AD174" i="25"/>
  <c r="AE174" i="25" s="1"/>
  <c r="W174" i="25"/>
  <c r="Z174" i="25" s="1"/>
  <c r="AA174" i="25" s="1"/>
  <c r="V304" i="25"/>
  <c r="U304" i="25"/>
  <c r="AO217" i="25"/>
  <c r="AD55" i="25"/>
  <c r="AE55" i="25" s="1"/>
  <c r="W55" i="25"/>
  <c r="Z55" i="25" s="1"/>
  <c r="AA55" i="25" s="1"/>
  <c r="AB55" i="25" s="1"/>
  <c r="AO314" i="25"/>
  <c r="AO303" i="25"/>
  <c r="AO289" i="25"/>
  <c r="AO275" i="25"/>
  <c r="AD266" i="25"/>
  <c r="AE266" i="25" s="1"/>
  <c r="W266" i="25"/>
  <c r="Z266" i="25" s="1"/>
  <c r="AA266" i="25" s="1"/>
  <c r="U298" i="25"/>
  <c r="V298" i="25"/>
  <c r="AO220" i="25"/>
  <c r="AO247" i="25"/>
  <c r="AO150" i="25"/>
  <c r="AO169" i="25"/>
  <c r="V119" i="25"/>
  <c r="U119" i="25"/>
  <c r="V118" i="25"/>
  <c r="U118" i="25"/>
  <c r="V116" i="25"/>
  <c r="U116" i="25"/>
  <c r="AD84" i="25"/>
  <c r="AE84" i="25" s="1"/>
  <c r="W84" i="25"/>
  <c r="Z84" i="25" s="1"/>
  <c r="AA84" i="25" s="1"/>
  <c r="AB84" i="25" s="1"/>
  <c r="W32" i="25"/>
  <c r="Z32" i="25" s="1"/>
  <c r="AA32" i="25" s="1"/>
  <c r="AB32" i="25" s="1"/>
  <c r="AD32" i="25"/>
  <c r="AE32" i="25" s="1"/>
  <c r="W46" i="25"/>
  <c r="Z46" i="25" s="1"/>
  <c r="AA46" i="25" s="1"/>
  <c r="AB46" i="25" s="1"/>
  <c r="AD46" i="25"/>
  <c r="AE46" i="25" s="1"/>
  <c r="W26" i="25"/>
  <c r="Z26" i="25" s="1"/>
  <c r="AA26" i="25" s="1"/>
  <c r="AB26" i="25" s="1"/>
  <c r="AD26" i="25"/>
  <c r="AE26" i="25" s="1"/>
  <c r="V307" i="25"/>
  <c r="U307" i="25"/>
  <c r="V276" i="25"/>
  <c r="U276" i="25"/>
  <c r="AD262" i="25"/>
  <c r="AE262" i="25" s="1"/>
  <c r="W262" i="25"/>
  <c r="Z262" i="25" s="1"/>
  <c r="AA262" i="25" s="1"/>
  <c r="U225" i="25"/>
  <c r="V225" i="25"/>
  <c r="U162" i="25"/>
  <c r="V162" i="25"/>
  <c r="V184" i="25"/>
  <c r="U184" i="25"/>
  <c r="V152" i="25"/>
  <c r="U152" i="25"/>
  <c r="V136" i="25"/>
  <c r="U136" i="25"/>
  <c r="AO115" i="25"/>
  <c r="V272" i="25"/>
  <c r="U272" i="25"/>
  <c r="AO139" i="25"/>
  <c r="AD189" i="25"/>
  <c r="AE189" i="25" s="1"/>
  <c r="W189" i="25"/>
  <c r="Z189" i="25" s="1"/>
  <c r="AA189" i="25" s="1"/>
  <c r="AB189" i="25" s="1"/>
  <c r="V102" i="25"/>
  <c r="U102" i="25"/>
  <c r="AD49" i="25"/>
  <c r="AE49" i="25" s="1"/>
  <c r="W49" i="25"/>
  <c r="Z49" i="25" s="1"/>
  <c r="AA49" i="25" s="1"/>
  <c r="AB49" i="25" s="1"/>
  <c r="W54" i="25"/>
  <c r="Z54" i="25" s="1"/>
  <c r="AA54" i="25" s="1"/>
  <c r="AB54" i="25" s="1"/>
  <c r="AD54" i="25"/>
  <c r="AE54" i="25" s="1"/>
  <c r="AD296" i="25"/>
  <c r="AE296" i="25" s="1"/>
  <c r="W296" i="25"/>
  <c r="Z296" i="25" s="1"/>
  <c r="AA296" i="25" s="1"/>
  <c r="AO296" i="25"/>
  <c r="V275" i="25"/>
  <c r="U275" i="25"/>
  <c r="AD280" i="25"/>
  <c r="AE280" i="25" s="1"/>
  <c r="W280" i="25"/>
  <c r="Z280" i="25" s="1"/>
  <c r="AA280" i="25" s="1"/>
  <c r="AO280" i="25"/>
  <c r="U237" i="25"/>
  <c r="V237" i="25"/>
  <c r="AD200" i="25"/>
  <c r="AE200" i="25" s="1"/>
  <c r="W200" i="25"/>
  <c r="Z200" i="25" s="1"/>
  <c r="AA200" i="25" s="1"/>
  <c r="U250" i="25"/>
  <c r="V250" i="25"/>
  <c r="AD234" i="25"/>
  <c r="AE234" i="25" s="1"/>
  <c r="W234" i="25"/>
  <c r="Z234" i="25" s="1"/>
  <c r="AA234" i="25" s="1"/>
  <c r="AO234" i="25"/>
  <c r="AO205" i="25"/>
  <c r="V179" i="25"/>
  <c r="U179" i="25"/>
  <c r="V147" i="25"/>
  <c r="U147" i="25"/>
  <c r="AD263" i="25"/>
  <c r="AE263" i="25" s="1"/>
  <c r="W263" i="25"/>
  <c r="Z263" i="25" s="1"/>
  <c r="AA263" i="25" s="1"/>
  <c r="AO263" i="25"/>
  <c r="U239" i="25"/>
  <c r="V239" i="25"/>
  <c r="AD229" i="25"/>
  <c r="AE229" i="25" s="1"/>
  <c r="W229" i="25"/>
  <c r="Z229" i="25" s="1"/>
  <c r="AA229" i="25" s="1"/>
  <c r="AO229" i="25"/>
  <c r="AO198" i="25"/>
  <c r="AO166" i="25"/>
  <c r="AO134" i="25"/>
  <c r="AO193" i="25"/>
  <c r="AO177" i="25"/>
  <c r="AO161" i="25"/>
  <c r="AO145" i="25"/>
  <c r="AO129" i="25"/>
  <c r="AO104" i="25"/>
  <c r="AO96" i="25"/>
  <c r="V273" i="25"/>
  <c r="U273" i="25"/>
  <c r="AD227" i="25"/>
  <c r="AE227" i="25" s="1"/>
  <c r="W227" i="25"/>
  <c r="Z227" i="25" s="1"/>
  <c r="AA227" i="25" s="1"/>
  <c r="AO227" i="25"/>
  <c r="W83" i="25"/>
  <c r="Z83" i="25" s="1"/>
  <c r="AA83" i="25" s="1"/>
  <c r="AB83" i="25" s="1"/>
  <c r="AD83" i="25"/>
  <c r="AE83" i="25" s="1"/>
  <c r="V83" i="25"/>
  <c r="U83" i="25"/>
  <c r="AD67" i="25"/>
  <c r="AE67" i="25" s="1"/>
  <c r="W67" i="25"/>
  <c r="Z67" i="25" s="1"/>
  <c r="AA67" i="25" s="1"/>
  <c r="AB67" i="25" s="1"/>
  <c r="W51" i="25"/>
  <c r="Z51" i="25" s="1"/>
  <c r="AA51" i="25" s="1"/>
  <c r="AB51" i="25" s="1"/>
  <c r="AD51" i="25"/>
  <c r="AE51" i="25" s="1"/>
  <c r="V51" i="25"/>
  <c r="U51" i="25"/>
  <c r="W31" i="25"/>
  <c r="Z31" i="25" s="1"/>
  <c r="AA31" i="25" s="1"/>
  <c r="AB31" i="25" s="1"/>
  <c r="AD31" i="25"/>
  <c r="AE31" i="25" s="1"/>
  <c r="AD15" i="25"/>
  <c r="AE15" i="25" s="1"/>
  <c r="W15" i="25"/>
  <c r="Z15" i="25" s="1"/>
  <c r="AA15" i="25" s="1"/>
  <c r="AB15" i="25" s="1"/>
  <c r="AD85" i="25"/>
  <c r="AE85" i="25" s="1"/>
  <c r="W85" i="25"/>
  <c r="Z85" i="25" s="1"/>
  <c r="AA85" i="25" s="1"/>
  <c r="AB85" i="25" s="1"/>
  <c r="AD61" i="25"/>
  <c r="AE61" i="25" s="1"/>
  <c r="W61" i="25"/>
  <c r="Z61" i="25" s="1"/>
  <c r="AA61" i="25" s="1"/>
  <c r="AB61" i="25" s="1"/>
  <c r="AD29" i="25"/>
  <c r="AE29" i="25" s="1"/>
  <c r="W29" i="25"/>
  <c r="Z29" i="25" s="1"/>
  <c r="AA29" i="25" s="1"/>
  <c r="AB29" i="25" s="1"/>
  <c r="W11" i="25"/>
  <c r="Z11" i="25" s="1"/>
  <c r="AA11" i="25" s="1"/>
  <c r="AB11" i="25" s="1"/>
  <c r="AD11" i="25"/>
  <c r="AE11" i="25" s="1"/>
  <c r="U11" i="25"/>
  <c r="V11" i="25"/>
  <c r="W7" i="25"/>
  <c r="Z7" i="25" s="1"/>
  <c r="AA7" i="25" s="1"/>
  <c r="AB7" i="25" s="1"/>
  <c r="AD7" i="25"/>
  <c r="AE7" i="25" s="1"/>
  <c r="U7" i="25"/>
  <c r="V7" i="25"/>
  <c r="AD116" i="25"/>
  <c r="AE116" i="25" s="1"/>
  <c r="W116" i="25"/>
  <c r="Z116" i="25" s="1"/>
  <c r="AA116" i="25" s="1"/>
  <c r="AO116" i="25"/>
  <c r="V82" i="25"/>
  <c r="U82" i="25"/>
  <c r="V66" i="25"/>
  <c r="U66" i="25"/>
  <c r="V84" i="25"/>
  <c r="U84" i="25"/>
  <c r="V68" i="25"/>
  <c r="U68" i="25"/>
  <c r="V52" i="25"/>
  <c r="U52" i="25"/>
  <c r="V46" i="25"/>
  <c r="U46" i="25"/>
  <c r="V36" i="25"/>
  <c r="U36" i="25"/>
  <c r="V26" i="25"/>
  <c r="U26" i="25"/>
  <c r="AO310" i="25"/>
  <c r="AD307" i="25"/>
  <c r="AE307" i="25" s="1"/>
  <c r="W307" i="25"/>
  <c r="Z307" i="25" s="1"/>
  <c r="AA307" i="25" s="1"/>
  <c r="AO307" i="25"/>
  <c r="U285" i="25"/>
  <c r="V285" i="25"/>
  <c r="W271" i="25"/>
  <c r="Z271" i="25" s="1"/>
  <c r="AA271" i="25" s="1"/>
  <c r="AB271" i="25" s="1"/>
  <c r="AD271" i="25"/>
  <c r="AE271" i="25" s="1"/>
  <c r="U249" i="25"/>
  <c r="V249" i="25"/>
  <c r="AD233" i="25"/>
  <c r="AE233" i="25" s="1"/>
  <c r="W233" i="25"/>
  <c r="Z233" i="25" s="1"/>
  <c r="AA233" i="25" s="1"/>
  <c r="AO233" i="25"/>
  <c r="U246" i="25"/>
  <c r="V246" i="25"/>
  <c r="AD207" i="25"/>
  <c r="AE207" i="25" s="1"/>
  <c r="W207" i="25"/>
  <c r="Z207" i="25" s="1"/>
  <c r="AA207" i="25" s="1"/>
  <c r="AB207" i="25" s="1"/>
  <c r="U207" i="25"/>
  <c r="V207" i="25"/>
  <c r="AO210" i="25"/>
  <c r="AO191" i="25"/>
  <c r="AO159" i="25"/>
  <c r="U287" i="25"/>
  <c r="V287" i="25"/>
  <c r="AD268" i="25"/>
  <c r="AE268" i="25" s="1"/>
  <c r="W268" i="25"/>
  <c r="Z268" i="25" s="1"/>
  <c r="AA268" i="25" s="1"/>
  <c r="U244" i="25"/>
  <c r="V244" i="25"/>
  <c r="AD236" i="25"/>
  <c r="AE236" i="25" s="1"/>
  <c r="W236" i="25"/>
  <c r="Z236" i="25" s="1"/>
  <c r="AA236" i="25" s="1"/>
  <c r="AO236" i="25"/>
  <c r="AD178" i="25"/>
  <c r="AE178" i="25" s="1"/>
  <c r="W178" i="25"/>
  <c r="Z178" i="25" s="1"/>
  <c r="AA178" i="25" s="1"/>
  <c r="AB178" i="25" s="1"/>
  <c r="U178" i="25"/>
  <c r="V178" i="25"/>
  <c r="AD146" i="25"/>
  <c r="AE146" i="25" s="1"/>
  <c r="W146" i="25"/>
  <c r="Z146" i="25" s="1"/>
  <c r="AA146" i="25" s="1"/>
  <c r="W192" i="25"/>
  <c r="Z192" i="25" s="1"/>
  <c r="AA192" i="25" s="1"/>
  <c r="AD192" i="25"/>
  <c r="AE192" i="25" s="1"/>
  <c r="W184" i="25"/>
  <c r="Z184" i="25" s="1"/>
  <c r="AA184" i="25" s="1"/>
  <c r="AB184" i="25" s="1"/>
  <c r="AD184" i="25"/>
  <c r="AE184" i="25" s="1"/>
  <c r="V176" i="25"/>
  <c r="U176" i="25"/>
  <c r="V168" i="25"/>
  <c r="U168" i="25"/>
  <c r="W160" i="25"/>
  <c r="Z160" i="25" s="1"/>
  <c r="AA160" i="25" s="1"/>
  <c r="AD160" i="25"/>
  <c r="AE160" i="25" s="1"/>
  <c r="W152" i="25"/>
  <c r="Z152" i="25" s="1"/>
  <c r="AA152" i="25" s="1"/>
  <c r="AD152" i="25"/>
  <c r="AE152" i="25" s="1"/>
  <c r="W144" i="25"/>
  <c r="Z144" i="25" s="1"/>
  <c r="AA144" i="25" s="1"/>
  <c r="AD144" i="25"/>
  <c r="AE144" i="25" s="1"/>
  <c r="W136" i="25"/>
  <c r="Z136" i="25" s="1"/>
  <c r="AA136" i="25" s="1"/>
  <c r="AD136" i="25"/>
  <c r="AE136" i="25" s="1"/>
  <c r="W128" i="25"/>
  <c r="Z128" i="25" s="1"/>
  <c r="AA128" i="25" s="1"/>
  <c r="AD128" i="25"/>
  <c r="AE128" i="25" s="1"/>
  <c r="AD115" i="25"/>
  <c r="AE115" i="25" s="1"/>
  <c r="W115" i="25"/>
  <c r="Z115" i="25" s="1"/>
  <c r="AA115" i="25" s="1"/>
  <c r="AB115" i="25" s="1"/>
  <c r="V99" i="25"/>
  <c r="U99" i="25"/>
  <c r="V95" i="25"/>
  <c r="U95" i="25"/>
  <c r="AD269" i="25"/>
  <c r="AE269" i="25" s="1"/>
  <c r="W269" i="25"/>
  <c r="Z269" i="25" s="1"/>
  <c r="AA269" i="25" s="1"/>
  <c r="AB269" i="25" s="1"/>
  <c r="V25" i="25"/>
  <c r="U25" i="25"/>
  <c r="AD288" i="25"/>
  <c r="AE288" i="25" s="1"/>
  <c r="W288" i="25"/>
  <c r="Z288" i="25" s="1"/>
  <c r="AA288" i="25" s="1"/>
  <c r="AB288" i="25" s="1"/>
  <c r="AO261" i="25"/>
  <c r="U174" i="25"/>
  <c r="V174" i="25"/>
  <c r="W38" i="25"/>
  <c r="Z38" i="25" s="1"/>
  <c r="AA38" i="25" s="1"/>
  <c r="AB38" i="25" s="1"/>
  <c r="AD38" i="25"/>
  <c r="AE38" i="25" s="1"/>
  <c r="V18" i="25"/>
  <c r="U18" i="25"/>
  <c r="AD224" i="25"/>
  <c r="AE224" i="25" s="1"/>
  <c r="W224" i="25"/>
  <c r="Z224" i="25" s="1"/>
  <c r="AA224" i="25" s="1"/>
  <c r="AB224" i="25" s="1"/>
  <c r="V199" i="25"/>
  <c r="U199" i="25"/>
  <c r="V151" i="25"/>
  <c r="U151" i="25"/>
  <c r="AD73" i="25"/>
  <c r="AE73" i="25" s="1"/>
  <c r="W73" i="25"/>
  <c r="Z73" i="25" s="1"/>
  <c r="AA73" i="25" s="1"/>
  <c r="AB73" i="25" s="1"/>
  <c r="AO146" i="25"/>
  <c r="AO184" i="25"/>
  <c r="AO168" i="25"/>
  <c r="AO152" i="25"/>
  <c r="AO136" i="25"/>
  <c r="V115" i="25"/>
  <c r="U115" i="25"/>
  <c r="AO103" i="25"/>
  <c r="AO99" i="25"/>
  <c r="AO95" i="25"/>
  <c r="AO91" i="25"/>
  <c r="AO269" i="25"/>
  <c r="U218" i="25"/>
  <c r="V218" i="25"/>
  <c r="AD114" i="25"/>
  <c r="AE114" i="25" s="1"/>
  <c r="W114" i="25"/>
  <c r="Z114" i="25" s="1"/>
  <c r="AA114" i="25" s="1"/>
  <c r="AB114" i="25" s="1"/>
  <c r="V114" i="25"/>
  <c r="U114" i="25"/>
  <c r="U125" i="25"/>
  <c r="V125" i="25"/>
  <c r="AD77" i="25"/>
  <c r="AE77" i="25" s="1"/>
  <c r="W77" i="25"/>
  <c r="Z77" i="25" s="1"/>
  <c r="AA77" i="25" s="1"/>
  <c r="AB77" i="25" s="1"/>
  <c r="AD57" i="25"/>
  <c r="AE57" i="25" s="1"/>
  <c r="W57" i="25"/>
  <c r="Z57" i="25" s="1"/>
  <c r="AA57" i="25" s="1"/>
  <c r="AB57" i="25" s="1"/>
  <c r="AD25" i="25"/>
  <c r="AE25" i="25" s="1"/>
  <c r="W25" i="25"/>
  <c r="Z25" i="25" s="1"/>
  <c r="AA25" i="25" s="1"/>
  <c r="AB25" i="25" s="1"/>
  <c r="W10" i="25"/>
  <c r="Z10" i="25" s="1"/>
  <c r="AA10" i="25" s="1"/>
  <c r="AB10" i="25" s="1"/>
  <c r="AD10" i="25"/>
  <c r="AE10" i="25" s="1"/>
  <c r="U10" i="25"/>
  <c r="V10" i="25"/>
  <c r="W6" i="25"/>
  <c r="Z6" i="25" s="1"/>
  <c r="AA6" i="25" s="1"/>
  <c r="AB6" i="25" s="1"/>
  <c r="AD6" i="25"/>
  <c r="AE6" i="25" s="1"/>
  <c r="AD112" i="25"/>
  <c r="AE112" i="25" s="1"/>
  <c r="W112" i="25"/>
  <c r="Z112" i="25" s="1"/>
  <c r="AA112" i="25" s="1"/>
  <c r="AO112" i="25"/>
  <c r="V78" i="25"/>
  <c r="U78" i="25"/>
  <c r="V80" i="25"/>
  <c r="U80" i="25"/>
  <c r="V42" i="25"/>
  <c r="U42" i="25"/>
  <c r="V35" i="25"/>
  <c r="U35" i="25"/>
  <c r="V22" i="25"/>
  <c r="U22" i="25"/>
  <c r="V306" i="25"/>
  <c r="U306" i="25"/>
  <c r="V301" i="25"/>
  <c r="U301" i="25"/>
  <c r="AD305" i="25"/>
  <c r="AE305" i="25" s="1"/>
  <c r="W305" i="25"/>
  <c r="Z305" i="25" s="1"/>
  <c r="AA305" i="25" s="1"/>
  <c r="U281" i="25"/>
  <c r="V281" i="25"/>
  <c r="AD272" i="25"/>
  <c r="AE272" i="25" s="1"/>
  <c r="W272" i="25"/>
  <c r="Z272" i="25" s="1"/>
  <c r="AA272" i="25" s="1"/>
  <c r="AB272" i="25" s="1"/>
  <c r="AO272" i="25"/>
  <c r="AO208" i="25"/>
  <c r="U242" i="25"/>
  <c r="V242" i="25"/>
  <c r="AD203" i="25"/>
  <c r="AE203" i="25" s="1"/>
  <c r="W203" i="25"/>
  <c r="Z203" i="25" s="1"/>
  <c r="AA203" i="25" s="1"/>
  <c r="AB203" i="25" s="1"/>
  <c r="U203" i="25"/>
  <c r="V203" i="25"/>
  <c r="AO209" i="25"/>
  <c r="V139" i="25"/>
  <c r="U139" i="25"/>
  <c r="AO278" i="25"/>
  <c r="U243" i="25"/>
  <c r="V243" i="25"/>
  <c r="AD221" i="25"/>
  <c r="AE221" i="25" s="1"/>
  <c r="W221" i="25"/>
  <c r="Z221" i="25" s="1"/>
  <c r="AA221" i="25" s="1"/>
  <c r="AO221" i="25"/>
  <c r="AO174" i="25"/>
  <c r="AO181" i="25"/>
  <c r="AO149" i="25"/>
  <c r="U231" i="25"/>
  <c r="V231" i="25"/>
  <c r="AD126" i="25"/>
  <c r="AE126" i="25" s="1"/>
  <c r="W126" i="25"/>
  <c r="Z126" i="25" s="1"/>
  <c r="AA126" i="25" s="1"/>
  <c r="AB126" i="25" s="1"/>
  <c r="V126" i="25"/>
  <c r="U126" i="25"/>
  <c r="AO59" i="25"/>
  <c r="AO117" i="25"/>
  <c r="U9" i="25"/>
  <c r="V9" i="25"/>
  <c r="V54" i="25"/>
  <c r="U54" i="25"/>
  <c r="AO53" i="25"/>
  <c r="V315" i="25"/>
  <c r="U315" i="25"/>
  <c r="V300" i="25"/>
  <c r="U300" i="25"/>
  <c r="AD284" i="25"/>
  <c r="AE284" i="25" s="1"/>
  <c r="W284" i="25"/>
  <c r="Z284" i="25" s="1"/>
  <c r="AA284" i="25" s="1"/>
  <c r="AB284" i="25" s="1"/>
  <c r="U284" i="25"/>
  <c r="V284" i="25"/>
  <c r="AD241" i="25"/>
  <c r="AE241" i="25" s="1"/>
  <c r="W241" i="25"/>
  <c r="Z241" i="25" s="1"/>
  <c r="AA241" i="25" s="1"/>
  <c r="AB241" i="25" s="1"/>
  <c r="AD308" i="25"/>
  <c r="AE308" i="25" s="1"/>
  <c r="W308" i="25"/>
  <c r="Z308" i="25" s="1"/>
  <c r="AA308" i="25" s="1"/>
  <c r="AB308" i="25" s="1"/>
  <c r="U224" i="25"/>
  <c r="V224" i="25"/>
  <c r="AD183" i="25"/>
  <c r="AE183" i="25" s="1"/>
  <c r="W183" i="25"/>
  <c r="Z183" i="25" s="1"/>
  <c r="AA183" i="25" s="1"/>
  <c r="AB183" i="25" s="1"/>
  <c r="AD256" i="25"/>
  <c r="AE256" i="25" s="1"/>
  <c r="W256" i="25"/>
  <c r="Z256" i="25" s="1"/>
  <c r="AA256" i="25" s="1"/>
  <c r="AB256" i="25" s="1"/>
  <c r="AO240" i="25"/>
  <c r="U222" i="25"/>
  <c r="V222" i="25"/>
  <c r="AD89" i="25"/>
  <c r="AE89" i="25" s="1"/>
  <c r="W89" i="25"/>
  <c r="Z89" i="25" s="1"/>
  <c r="AA89" i="25" s="1"/>
  <c r="AB89" i="25" s="1"/>
  <c r="AO37" i="25"/>
  <c r="W14" i="25"/>
  <c r="Z14" i="25" s="1"/>
  <c r="AA14" i="25" s="1"/>
  <c r="AB14" i="25" s="1"/>
  <c r="AD14" i="25"/>
  <c r="AE14" i="25" s="1"/>
  <c r="U141" i="25"/>
  <c r="V141" i="25"/>
  <c r="AD98" i="25"/>
  <c r="AE98" i="25" s="1"/>
  <c r="W98" i="25"/>
  <c r="Z98" i="25" s="1"/>
  <c r="AA98" i="25" s="1"/>
  <c r="AB98" i="25" s="1"/>
  <c r="AO124" i="25"/>
  <c r="AO144" i="25"/>
  <c r="AO128" i="25"/>
  <c r="V269" i="25"/>
  <c r="U269" i="25"/>
  <c r="AD226" i="25"/>
  <c r="AE226" i="25" s="1"/>
  <c r="W226" i="25"/>
  <c r="Z226" i="25" s="1"/>
  <c r="AA226" i="25" s="1"/>
  <c r="AO226" i="25"/>
  <c r="AD79" i="25"/>
  <c r="AE79" i="25" s="1"/>
  <c r="W79" i="25"/>
  <c r="Z79" i="25" s="1"/>
  <c r="AA79" i="25" s="1"/>
  <c r="AB79" i="25" s="1"/>
  <c r="AO79" i="25"/>
  <c r="W63" i="25"/>
  <c r="Z63" i="25" s="1"/>
  <c r="AA63" i="25" s="1"/>
  <c r="AB63" i="25" s="1"/>
  <c r="AD63" i="25"/>
  <c r="AE63" i="25" s="1"/>
  <c r="V63" i="25"/>
  <c r="U63" i="25"/>
  <c r="W47" i="25"/>
  <c r="Z47" i="25" s="1"/>
  <c r="AA47" i="25" s="1"/>
  <c r="AB47" i="25" s="1"/>
  <c r="AD47" i="25"/>
  <c r="AE47" i="25" s="1"/>
  <c r="V47" i="25"/>
  <c r="U47" i="25"/>
  <c r="W27" i="25"/>
  <c r="Z27" i="25" s="1"/>
  <c r="AA27" i="25" s="1"/>
  <c r="AB27" i="25" s="1"/>
  <c r="AD27" i="25"/>
  <c r="AE27" i="25" s="1"/>
  <c r="V27" i="25"/>
  <c r="U27" i="25"/>
  <c r="AD125" i="25"/>
  <c r="AE125" i="25" s="1"/>
  <c r="W125" i="25"/>
  <c r="Z125" i="25" s="1"/>
  <c r="AA125" i="25" s="1"/>
  <c r="AO77" i="25"/>
  <c r="AO57" i="25"/>
  <c r="AO25" i="25"/>
  <c r="AO6" i="25"/>
  <c r="V112" i="25"/>
  <c r="U112" i="25"/>
  <c r="W78" i="25"/>
  <c r="Z78" i="25" s="1"/>
  <c r="AA78" i="25" s="1"/>
  <c r="AB78" i="25" s="1"/>
  <c r="AD78" i="25"/>
  <c r="AE78" i="25" s="1"/>
  <c r="W62" i="25"/>
  <c r="Z62" i="25" s="1"/>
  <c r="AA62" i="25" s="1"/>
  <c r="AB62" i="25" s="1"/>
  <c r="AD62" i="25"/>
  <c r="AE62" i="25" s="1"/>
  <c r="W80" i="25"/>
  <c r="Z80" i="25" s="1"/>
  <c r="AA80" i="25" s="1"/>
  <c r="AB80" i="25" s="1"/>
  <c r="AD80" i="25"/>
  <c r="AE80" i="25" s="1"/>
  <c r="W64" i="25"/>
  <c r="Z64" i="25" s="1"/>
  <c r="AA64" i="25" s="1"/>
  <c r="AB64" i="25" s="1"/>
  <c r="AD64" i="25"/>
  <c r="AE64" i="25" s="1"/>
  <c r="W48" i="25"/>
  <c r="Z48" i="25" s="1"/>
  <c r="AA48" i="25" s="1"/>
  <c r="AB48" i="25" s="1"/>
  <c r="AD48" i="25"/>
  <c r="AE48" i="25" s="1"/>
  <c r="V48" i="25"/>
  <c r="U48" i="25"/>
  <c r="AD28" i="25"/>
  <c r="AE28" i="25" s="1"/>
  <c r="W28" i="25"/>
  <c r="Z28" i="25" s="1"/>
  <c r="AA28" i="25" s="1"/>
  <c r="AB28" i="25" s="1"/>
  <c r="W12" i="25"/>
  <c r="Z12" i="25" s="1"/>
  <c r="AA12" i="25" s="1"/>
  <c r="AB12" i="25" s="1"/>
  <c r="AD12" i="25"/>
  <c r="AE12" i="25" s="1"/>
  <c r="AD69" i="25"/>
  <c r="AE69" i="25" s="1"/>
  <c r="W69" i="25"/>
  <c r="Z69" i="25" s="1"/>
  <c r="AA69" i="25" s="1"/>
  <c r="AB69" i="25" s="1"/>
  <c r="AD21" i="25"/>
  <c r="AE21" i="25" s="1"/>
  <c r="W21" i="25"/>
  <c r="Z21" i="25" s="1"/>
  <c r="AA21" i="25" s="1"/>
  <c r="AB21" i="25" s="1"/>
  <c r="W42" i="25"/>
  <c r="Z42" i="25" s="1"/>
  <c r="AA42" i="25" s="1"/>
  <c r="AB42" i="25" s="1"/>
  <c r="AD42" i="25"/>
  <c r="AE42" i="25" s="1"/>
  <c r="W35" i="25"/>
  <c r="Z35" i="25" s="1"/>
  <c r="AA35" i="25" s="1"/>
  <c r="AB35" i="25" s="1"/>
  <c r="AD35" i="25"/>
  <c r="AE35" i="25" s="1"/>
  <c r="AO35" i="25"/>
  <c r="W22" i="25"/>
  <c r="Z22" i="25" s="1"/>
  <c r="AA22" i="25" s="1"/>
  <c r="AB22" i="25" s="1"/>
  <c r="AD22" i="25"/>
  <c r="AE22" i="25" s="1"/>
  <c r="AD306" i="25"/>
  <c r="AE306" i="25" s="1"/>
  <c r="W306" i="25"/>
  <c r="Z306" i="25" s="1"/>
  <c r="AA306" i="25" s="1"/>
  <c r="AB306" i="25" s="1"/>
  <c r="V305" i="25"/>
  <c r="U305" i="25"/>
  <c r="AO305" i="25"/>
  <c r="U288" i="25"/>
  <c r="V288" i="25"/>
  <c r="AD297" i="25"/>
  <c r="AE297" i="25" s="1"/>
  <c r="W297" i="25"/>
  <c r="Z297" i="25" s="1"/>
  <c r="AA297" i="25" s="1"/>
  <c r="AO297" i="25"/>
  <c r="U261" i="25"/>
  <c r="V261" i="25"/>
  <c r="AD245" i="25"/>
  <c r="AE245" i="25" s="1"/>
  <c r="W245" i="25"/>
  <c r="Z245" i="25" s="1"/>
  <c r="AA245" i="25" s="1"/>
  <c r="AO245" i="25"/>
  <c r="V208" i="25"/>
  <c r="U208" i="25"/>
  <c r="U291" i="25"/>
  <c r="V291" i="25"/>
  <c r="AD258" i="25"/>
  <c r="AE258" i="25" s="1"/>
  <c r="W258" i="25"/>
  <c r="Z258" i="25" s="1"/>
  <c r="AA258" i="25" s="1"/>
  <c r="AO258" i="25"/>
  <c r="AD228" i="25"/>
  <c r="AE228" i="25" s="1"/>
  <c r="W228" i="25"/>
  <c r="Z228" i="25" s="1"/>
  <c r="AA228" i="25" s="1"/>
  <c r="AO228" i="25"/>
  <c r="V209" i="25"/>
  <c r="U209" i="25"/>
  <c r="V171" i="25"/>
  <c r="U171" i="25"/>
  <c r="AD259" i="25"/>
  <c r="AE259" i="25" s="1"/>
  <c r="W259" i="25"/>
  <c r="Z259" i="25" s="1"/>
  <c r="AA259" i="25" s="1"/>
  <c r="AO259" i="25"/>
  <c r="AO142" i="25"/>
  <c r="AO189" i="25"/>
  <c r="AO165" i="25"/>
  <c r="AO127" i="25"/>
  <c r="AD295" i="25"/>
  <c r="AE295" i="25" s="1"/>
  <c r="W295" i="25"/>
  <c r="Z295" i="25" s="1"/>
  <c r="AA295" i="25" s="1"/>
  <c r="AO295" i="25"/>
  <c r="V49" i="25"/>
  <c r="U49" i="25"/>
  <c r="AO90" i="25"/>
  <c r="V60" i="25"/>
  <c r="U60" i="25"/>
  <c r="AO60" i="25"/>
  <c r="V24" i="25"/>
  <c r="U24" i="25"/>
  <c r="AO24" i="25"/>
  <c r="AO38" i="25"/>
  <c r="AO304" i="25"/>
  <c r="AO315" i="25"/>
  <c r="AO257" i="25"/>
  <c r="U206" i="25"/>
  <c r="V206" i="25"/>
  <c r="W274" i="25"/>
  <c r="Z274" i="25" s="1"/>
  <c r="AA274" i="25" s="1"/>
  <c r="AB274" i="25" s="1"/>
  <c r="AD274" i="25"/>
  <c r="AE274" i="25" s="1"/>
  <c r="U232" i="25"/>
  <c r="V232" i="25"/>
  <c r="V39" i="25"/>
  <c r="U39" i="25"/>
  <c r="V70" i="25"/>
  <c r="U70" i="25"/>
  <c r="W40" i="25"/>
  <c r="Z40" i="25" s="1"/>
  <c r="AA40" i="25" s="1"/>
  <c r="AB40" i="25" s="1"/>
  <c r="AD40" i="25"/>
  <c r="AE40" i="25" s="1"/>
  <c r="AD158" i="25"/>
  <c r="AE158" i="25" s="1"/>
  <c r="W158" i="25"/>
  <c r="Z158" i="25" s="1"/>
  <c r="AA158" i="25" s="1"/>
  <c r="AB158" i="25" s="1"/>
  <c r="AD157" i="25"/>
  <c r="AE157" i="25" s="1"/>
  <c r="W157" i="25"/>
  <c r="Z157" i="25" s="1"/>
  <c r="AA157" i="25" s="1"/>
  <c r="AB157" i="25" s="1"/>
  <c r="V43" i="25"/>
  <c r="U43" i="25"/>
  <c r="W44" i="25"/>
  <c r="Z44" i="25" s="1"/>
  <c r="AA44" i="25" s="1"/>
  <c r="AB44" i="25" s="1"/>
  <c r="AD44" i="25"/>
  <c r="AE44" i="25" s="1"/>
  <c r="U226" i="25"/>
  <c r="V226" i="25"/>
  <c r="AD218" i="25"/>
  <c r="AE218" i="25" s="1"/>
  <c r="W218" i="25"/>
  <c r="Z218" i="25" s="1"/>
  <c r="AA218" i="25" s="1"/>
  <c r="AO218" i="25"/>
  <c r="AO114" i="25"/>
  <c r="V79" i="25"/>
  <c r="U79" i="25"/>
  <c r="AO47" i="25"/>
  <c r="AO27" i="25"/>
  <c r="AO125" i="25"/>
  <c r="AO10" i="25"/>
  <c r="U6" i="25"/>
  <c r="V6" i="25"/>
  <c r="AO78" i="25"/>
  <c r="AO62" i="25"/>
  <c r="AO80" i="25"/>
  <c r="AO64" i="25"/>
  <c r="AO48" i="25"/>
  <c r="V28" i="25"/>
  <c r="U28" i="25"/>
  <c r="AO28" i="25"/>
  <c r="V12" i="25"/>
  <c r="U12" i="25"/>
  <c r="AO12" i="25"/>
  <c r="AO69" i="25"/>
  <c r="V69" i="25"/>
  <c r="U69" i="25"/>
  <c r="AO21" i="25"/>
  <c r="V21" i="25"/>
  <c r="U21" i="25"/>
  <c r="AO42" i="25"/>
  <c r="AO22" i="25"/>
  <c r="AO306" i="25"/>
  <c r="AD301" i="25"/>
  <c r="AE301" i="25" s="1"/>
  <c r="W301" i="25"/>
  <c r="Z301" i="25" s="1"/>
  <c r="AA301" i="25" s="1"/>
  <c r="AO301" i="25"/>
  <c r="U297" i="25"/>
  <c r="V297" i="25"/>
  <c r="AD281" i="25"/>
  <c r="AE281" i="25" s="1"/>
  <c r="W281" i="25"/>
  <c r="Z281" i="25" s="1"/>
  <c r="AA281" i="25" s="1"/>
  <c r="AO281" i="25"/>
  <c r="U245" i="25"/>
  <c r="V245" i="25"/>
  <c r="AD208" i="25"/>
  <c r="AE208" i="25" s="1"/>
  <c r="W208" i="25"/>
  <c r="Z208" i="25" s="1"/>
  <c r="AA208" i="25" s="1"/>
  <c r="U258" i="25"/>
  <c r="V258" i="25"/>
  <c r="AD242" i="25"/>
  <c r="AE242" i="25" s="1"/>
  <c r="W242" i="25"/>
  <c r="Z242" i="25" s="1"/>
  <c r="AA242" i="25" s="1"/>
  <c r="AO242" i="25"/>
  <c r="AO203" i="25"/>
  <c r="U228" i="25"/>
  <c r="V228" i="25"/>
  <c r="W209" i="25"/>
  <c r="Z209" i="25" s="1"/>
  <c r="AA209" i="25" s="1"/>
  <c r="AB209" i="25" s="1"/>
  <c r="AD209" i="25"/>
  <c r="AE209" i="25" s="1"/>
  <c r="AO171" i="25"/>
  <c r="AD139" i="25"/>
  <c r="AE139" i="25" s="1"/>
  <c r="W139" i="25"/>
  <c r="Z139" i="25" s="1"/>
  <c r="AA139" i="25" s="1"/>
  <c r="U259" i="25"/>
  <c r="V259" i="25"/>
  <c r="AD243" i="25"/>
  <c r="AE243" i="25" s="1"/>
  <c r="W243" i="25"/>
  <c r="Z243" i="25" s="1"/>
  <c r="AA243" i="25" s="1"/>
  <c r="AO243" i="25"/>
  <c r="AD142" i="25"/>
  <c r="AE142" i="25" s="1"/>
  <c r="W142" i="25"/>
  <c r="Z142" i="25" s="1"/>
  <c r="AA142" i="25" s="1"/>
  <c r="AB142" i="25" s="1"/>
  <c r="U142" i="25"/>
  <c r="V142" i="25"/>
  <c r="U189" i="25"/>
  <c r="V189" i="25"/>
  <c r="AD181" i="25"/>
  <c r="AE181" i="25" s="1"/>
  <c r="W181" i="25"/>
  <c r="Z181" i="25" s="1"/>
  <c r="AA181" i="25" s="1"/>
  <c r="U165" i="25"/>
  <c r="V165" i="25"/>
  <c r="AD149" i="25"/>
  <c r="AE149" i="25" s="1"/>
  <c r="W149" i="25"/>
  <c r="Z149" i="25" s="1"/>
  <c r="AA149" i="25" s="1"/>
  <c r="V127" i="25"/>
  <c r="U127" i="25"/>
  <c r="AD102" i="25"/>
  <c r="AE102" i="25" s="1"/>
  <c r="W102" i="25"/>
  <c r="Z102" i="25" s="1"/>
  <c r="AA102" i="25" s="1"/>
  <c r="AB102" i="25" s="1"/>
  <c r="AO102" i="25"/>
  <c r="AD94" i="25"/>
  <c r="AE94" i="25" s="1"/>
  <c r="W94" i="25"/>
  <c r="Z94" i="25" s="1"/>
  <c r="AA94" i="25" s="1"/>
  <c r="AB94" i="25" s="1"/>
  <c r="AO94" i="25"/>
  <c r="AD231" i="25"/>
  <c r="AE231" i="25" s="1"/>
  <c r="W231" i="25"/>
  <c r="Z231" i="25" s="1"/>
  <c r="AA231" i="25" s="1"/>
  <c r="AO231" i="25"/>
  <c r="AO126" i="25"/>
  <c r="U295" i="25"/>
  <c r="V295" i="25"/>
  <c r="W59" i="25"/>
  <c r="Z59" i="25" s="1"/>
  <c r="AA59" i="25" s="1"/>
  <c r="AB59" i="25" s="1"/>
  <c r="AD59" i="25"/>
  <c r="AE59" i="25" s="1"/>
  <c r="V59" i="25"/>
  <c r="U59" i="25"/>
  <c r="AD117" i="25"/>
  <c r="AE117" i="25" s="1"/>
  <c r="W117" i="25"/>
  <c r="Z117" i="25" s="1"/>
  <c r="AA117" i="25" s="1"/>
  <c r="AO49" i="25"/>
  <c r="AO9" i="25"/>
  <c r="V90" i="25"/>
  <c r="U90" i="25"/>
  <c r="AO54" i="25"/>
  <c r="AD53" i="25"/>
  <c r="AE53" i="25" s="1"/>
  <c r="W53" i="25"/>
  <c r="Z53" i="25" s="1"/>
  <c r="AA53" i="25" s="1"/>
  <c r="AB53" i="25" s="1"/>
  <c r="V53" i="25"/>
  <c r="U53" i="25"/>
  <c r="W18" i="25"/>
  <c r="Z18" i="25" s="1"/>
  <c r="AA18" i="25" s="1"/>
  <c r="AB18" i="25" s="1"/>
  <c r="AD18" i="25"/>
  <c r="AE18" i="25" s="1"/>
  <c r="AO18" i="25"/>
  <c r="U293" i="25"/>
  <c r="V293" i="25"/>
  <c r="AO279" i="25"/>
  <c r="AD283" i="25"/>
  <c r="AE283" i="25" s="1"/>
  <c r="W283" i="25"/>
  <c r="Z283" i="25" s="1"/>
  <c r="AA283" i="25" s="1"/>
  <c r="AB283" i="25" s="1"/>
  <c r="AD254" i="25"/>
  <c r="AE254" i="25" s="1"/>
  <c r="W254" i="25"/>
  <c r="Z254" i="25" s="1"/>
  <c r="AA254" i="25" s="1"/>
  <c r="AB254" i="25" s="1"/>
  <c r="AO154" i="25"/>
  <c r="V156" i="25"/>
  <c r="U156" i="25"/>
  <c r="AD87" i="25"/>
  <c r="AE87" i="25" s="1"/>
  <c r="W87" i="25"/>
  <c r="Z87" i="25" s="1"/>
  <c r="AA87" i="25" s="1"/>
  <c r="AB87" i="25" s="1"/>
  <c r="AD19" i="25"/>
  <c r="AE19" i="25" s="1"/>
  <c r="W19" i="25"/>
  <c r="Z19" i="25" s="1"/>
  <c r="AA19" i="25" s="1"/>
  <c r="AB19" i="25" s="1"/>
  <c r="W50" i="25"/>
  <c r="Z50" i="25" s="1"/>
  <c r="AA50" i="25" s="1"/>
  <c r="AB50" i="25" s="1"/>
  <c r="AD50" i="25"/>
  <c r="AE50" i="25" s="1"/>
  <c r="AD251" i="25"/>
  <c r="AE251" i="25" s="1"/>
  <c r="W251" i="25"/>
  <c r="Z251" i="25" s="1"/>
  <c r="AA251" i="25" s="1"/>
  <c r="AB251" i="25" s="1"/>
  <c r="U235" i="25"/>
  <c r="V235" i="25"/>
  <c r="W74" i="25"/>
  <c r="Z74" i="25" s="1"/>
  <c r="AA74" i="25" s="1"/>
  <c r="AB74" i="25" s="1"/>
  <c r="AD74" i="25"/>
  <c r="AE74" i="25" s="1"/>
  <c r="V34" i="25"/>
  <c r="U34" i="25"/>
  <c r="AD304" i="25"/>
  <c r="AE304" i="25" s="1"/>
  <c r="W304" i="25"/>
  <c r="Z304" i="25" s="1"/>
  <c r="AA304" i="25" s="1"/>
  <c r="AD315" i="25"/>
  <c r="AE315" i="25" s="1"/>
  <c r="W315" i="25"/>
  <c r="Z315" i="25" s="1"/>
  <c r="AA315" i="25" s="1"/>
  <c r="AB315" i="25" s="1"/>
  <c r="AO300" i="25"/>
  <c r="AO309" i="25"/>
  <c r="AO241" i="25"/>
  <c r="V204" i="25"/>
  <c r="U204" i="25"/>
  <c r="AO254" i="25"/>
  <c r="AO224" i="25"/>
  <c r="AD206" i="25"/>
  <c r="AE206" i="25" s="1"/>
  <c r="W206" i="25"/>
  <c r="Z206" i="25" s="1"/>
  <c r="AA206" i="25" s="1"/>
  <c r="AD167" i="25"/>
  <c r="AE167" i="25" s="1"/>
  <c r="W167" i="25"/>
  <c r="Z167" i="25" s="1"/>
  <c r="AA167" i="25" s="1"/>
  <c r="AB167" i="25" s="1"/>
  <c r="V135" i="25"/>
  <c r="U135" i="25"/>
  <c r="V274" i="25"/>
  <c r="U274" i="25"/>
  <c r="AO256" i="25"/>
  <c r="U248" i="25"/>
  <c r="V248" i="25"/>
  <c r="AO170" i="25"/>
  <c r="V180" i="25"/>
  <c r="U180" i="25"/>
  <c r="V148" i="25"/>
  <c r="U148" i="25"/>
  <c r="V123" i="25"/>
  <c r="U123" i="25"/>
  <c r="AO230" i="25"/>
  <c r="V122" i="25"/>
  <c r="U122" i="25"/>
  <c r="AO87" i="25"/>
  <c r="U113" i="25"/>
  <c r="V113" i="25"/>
  <c r="AD33" i="25"/>
  <c r="AE33" i="25" s="1"/>
  <c r="W33" i="25"/>
  <c r="Z33" i="25" s="1"/>
  <c r="AA33" i="25" s="1"/>
  <c r="AB33" i="25" s="1"/>
  <c r="AD120" i="25"/>
  <c r="AE120" i="25" s="1"/>
  <c r="W120" i="25"/>
  <c r="Z120" i="25" s="1"/>
  <c r="AA120" i="25" s="1"/>
  <c r="AB120" i="25" s="1"/>
  <c r="W70" i="25"/>
  <c r="Z70" i="25" s="1"/>
  <c r="AA70" i="25" s="1"/>
  <c r="AB70" i="25" s="1"/>
  <c r="AD70" i="25"/>
  <c r="AE70" i="25" s="1"/>
  <c r="AD72" i="25"/>
  <c r="AE72" i="25" s="1"/>
  <c r="W72" i="25"/>
  <c r="Z72" i="25" s="1"/>
  <c r="AA72" i="25" s="1"/>
  <c r="AB72" i="25" s="1"/>
  <c r="V37" i="25"/>
  <c r="U37" i="25"/>
  <c r="V30" i="25"/>
  <c r="U30" i="25"/>
  <c r="AO14" i="25"/>
  <c r="V187" i="25"/>
  <c r="U187" i="25"/>
  <c r="V155" i="25"/>
  <c r="U155" i="25"/>
  <c r="AO251" i="25"/>
  <c r="U190" i="25"/>
  <c r="V190" i="25"/>
  <c r="U197" i="25"/>
  <c r="V197" i="25"/>
  <c r="AD141" i="25"/>
  <c r="AE141" i="25" s="1"/>
  <c r="W141" i="25"/>
  <c r="Z141" i="25" s="1"/>
  <c r="AA141" i="25" s="1"/>
  <c r="U133" i="25"/>
  <c r="V133" i="25"/>
  <c r="AO111" i="25"/>
  <c r="AO75" i="25"/>
  <c r="W23" i="25"/>
  <c r="Z23" i="25" s="1"/>
  <c r="AA23" i="25" s="1"/>
  <c r="AB23" i="25" s="1"/>
  <c r="AD23" i="25"/>
  <c r="AE23" i="25" s="1"/>
  <c r="U121" i="25"/>
  <c r="V121" i="25"/>
  <c r="W34" i="25"/>
  <c r="Z34" i="25" s="1"/>
  <c r="AA34" i="25" s="1"/>
  <c r="AB34" i="25" s="1"/>
  <c r="AD34" i="25"/>
  <c r="AE34" i="25" s="1"/>
  <c r="AO284" i="25"/>
  <c r="AD293" i="25"/>
  <c r="AE293" i="25" s="1"/>
  <c r="W293" i="25"/>
  <c r="Z293" i="25" s="1"/>
  <c r="AA293" i="25" s="1"/>
  <c r="AO293" i="25"/>
  <c r="W279" i="25"/>
  <c r="Z279" i="25" s="1"/>
  <c r="AA279" i="25" s="1"/>
  <c r="AB279" i="25" s="1"/>
  <c r="AD279" i="25"/>
  <c r="AE279" i="25" s="1"/>
  <c r="AO294" i="25"/>
  <c r="AD257" i="25"/>
  <c r="AE257" i="25" s="1"/>
  <c r="W257" i="25"/>
  <c r="Z257" i="25" s="1"/>
  <c r="AA257" i="25" s="1"/>
  <c r="AB257" i="25" s="1"/>
  <c r="U257" i="25"/>
  <c r="V257" i="25"/>
  <c r="AO204" i="25"/>
  <c r="U283" i="25"/>
  <c r="V283" i="25"/>
  <c r="U238" i="25"/>
  <c r="V238" i="25"/>
  <c r="V308" i="25"/>
  <c r="U308" i="25"/>
  <c r="V167" i="25"/>
  <c r="U167" i="25"/>
  <c r="AD135" i="25"/>
  <c r="AE135" i="25" s="1"/>
  <c r="W135" i="25"/>
  <c r="Z135" i="25" s="1"/>
  <c r="AA135" i="25" s="1"/>
  <c r="AB135" i="25" s="1"/>
  <c r="AD240" i="25"/>
  <c r="AE240" i="25" s="1"/>
  <c r="W240" i="25"/>
  <c r="Z240" i="25" s="1"/>
  <c r="AA240" i="25" s="1"/>
  <c r="AB240" i="25" s="1"/>
  <c r="AO138" i="25"/>
  <c r="V196" i="25"/>
  <c r="U196" i="25"/>
  <c r="V164" i="25"/>
  <c r="U164" i="25"/>
  <c r="V132" i="25"/>
  <c r="U132" i="25"/>
  <c r="AO105" i="25"/>
  <c r="AO101" i="25"/>
  <c r="AO97" i="25"/>
  <c r="AO93" i="25"/>
  <c r="AO277" i="25"/>
  <c r="AD230" i="25"/>
  <c r="AE230" i="25" s="1"/>
  <c r="W230" i="25"/>
  <c r="Z230" i="25" s="1"/>
  <c r="AA230" i="25" s="1"/>
  <c r="AB230" i="25" s="1"/>
  <c r="AD71" i="25"/>
  <c r="AE71" i="25" s="1"/>
  <c r="W71" i="25"/>
  <c r="Z71" i="25" s="1"/>
  <c r="AA71" i="25" s="1"/>
  <c r="AB71" i="25" s="1"/>
  <c r="V55" i="25"/>
  <c r="U55" i="25"/>
  <c r="V19" i="25"/>
  <c r="U19" i="25"/>
  <c r="AD65" i="25"/>
  <c r="AE65" i="25" s="1"/>
  <c r="W65" i="25"/>
  <c r="Z65" i="25" s="1"/>
  <c r="AA65" i="25" s="1"/>
  <c r="AB65" i="25" s="1"/>
  <c r="AD13" i="25"/>
  <c r="AE13" i="25" s="1"/>
  <c r="W13" i="25"/>
  <c r="Z13" i="25" s="1"/>
  <c r="AA13" i="25" s="1"/>
  <c r="AB13" i="25" s="1"/>
  <c r="AO120" i="25"/>
  <c r="W86" i="25"/>
  <c r="Z86" i="25" s="1"/>
  <c r="AA86" i="25" s="1"/>
  <c r="AB86" i="25" s="1"/>
  <c r="AD86" i="25"/>
  <c r="AE86" i="25" s="1"/>
  <c r="W88" i="25"/>
  <c r="Z88" i="25" s="1"/>
  <c r="AA88" i="25" s="1"/>
  <c r="AB88" i="25" s="1"/>
  <c r="AD88" i="25"/>
  <c r="AE88" i="25" s="1"/>
  <c r="W56" i="25"/>
  <c r="Z56" i="25" s="1"/>
  <c r="AA56" i="25" s="1"/>
  <c r="AB56" i="25" s="1"/>
  <c r="AD56" i="25"/>
  <c r="AE56" i="25" s="1"/>
  <c r="V50" i="25"/>
  <c r="U50" i="25"/>
  <c r="AD316" i="25"/>
  <c r="AE316" i="25" s="1"/>
  <c r="W316" i="25"/>
  <c r="Z316" i="25" s="1"/>
  <c r="AA316" i="25" s="1"/>
  <c r="AB316" i="25" s="1"/>
  <c r="AO201" i="25"/>
  <c r="U158" i="25"/>
  <c r="V158" i="25"/>
  <c r="AD173" i="25"/>
  <c r="AE173" i="25" s="1"/>
  <c r="W173" i="25"/>
  <c r="Z173" i="25" s="1"/>
  <c r="AA173" i="25" s="1"/>
  <c r="AB173" i="25" s="1"/>
  <c r="U157" i="25"/>
  <c r="V157" i="25"/>
  <c r="AD111" i="25"/>
  <c r="AE111" i="25" s="1"/>
  <c r="W111" i="25"/>
  <c r="Z111" i="25" s="1"/>
  <c r="AA111" i="25" s="1"/>
  <c r="AB111" i="25" s="1"/>
  <c r="AO290" i="25"/>
  <c r="W43" i="25"/>
  <c r="Z43" i="25" s="1"/>
  <c r="AA43" i="25" s="1"/>
  <c r="AB43" i="25" s="1"/>
  <c r="AD43" i="25"/>
  <c r="AE43" i="25" s="1"/>
  <c r="AO23" i="25"/>
  <c r="AO73" i="25"/>
  <c r="AD17" i="25"/>
  <c r="AE17" i="25" s="1"/>
  <c r="W17" i="25"/>
  <c r="Z17" i="25" s="1"/>
  <c r="AA17" i="25" s="1"/>
  <c r="AB17" i="25" s="1"/>
  <c r="V124" i="25"/>
  <c r="U124" i="25"/>
  <c r="V44" i="25"/>
  <c r="U44" i="25"/>
  <c r="W58" i="25"/>
  <c r="Z58" i="25" s="1"/>
  <c r="AA58" i="25" s="1"/>
  <c r="AB58" i="25" s="1"/>
  <c r="AD58" i="25"/>
  <c r="AE58" i="25" s="1"/>
  <c r="AO34" i="25"/>
  <c r="AD294" i="25"/>
  <c r="AE294" i="25" s="1"/>
  <c r="W294" i="25"/>
  <c r="Z294" i="25" s="1"/>
  <c r="AA294" i="25" s="1"/>
  <c r="U294" i="25"/>
  <c r="V294" i="25"/>
  <c r="AD199" i="25"/>
  <c r="AE199" i="25" s="1"/>
  <c r="W199" i="25"/>
  <c r="Z199" i="25" s="1"/>
  <c r="AA199" i="25" s="1"/>
  <c r="AB199" i="25" s="1"/>
  <c r="V183" i="25"/>
  <c r="U183" i="25"/>
  <c r="AD151" i="25"/>
  <c r="AE151" i="25" s="1"/>
  <c r="W151" i="25"/>
  <c r="Z151" i="25" s="1"/>
  <c r="AA151" i="25" s="1"/>
  <c r="AB151" i="25" s="1"/>
  <c r="U264" i="25"/>
  <c r="V264" i="25"/>
  <c r="AD217" i="25"/>
  <c r="AE217" i="25" s="1"/>
  <c r="W217" i="25"/>
  <c r="Z217" i="25" s="1"/>
  <c r="AA217" i="25" s="1"/>
  <c r="AB217" i="25" s="1"/>
  <c r="AO186" i="25"/>
  <c r="V172" i="25"/>
  <c r="U172" i="25"/>
  <c r="V140" i="25"/>
  <c r="U140" i="25"/>
  <c r="V277" i="25"/>
  <c r="U277" i="25"/>
  <c r="AD122" i="25"/>
  <c r="AE122" i="25" s="1"/>
  <c r="W122" i="25"/>
  <c r="Z122" i="25" s="1"/>
  <c r="AA122" i="25" s="1"/>
  <c r="AD39" i="25"/>
  <c r="AE39" i="25" s="1"/>
  <c r="W39" i="25"/>
  <c r="Z39" i="25" s="1"/>
  <c r="AA39" i="25" s="1"/>
  <c r="AB39" i="25" s="1"/>
  <c r="AD113" i="25"/>
  <c r="AE113" i="25" s="1"/>
  <c r="W113" i="25"/>
  <c r="Z113" i="25" s="1"/>
  <c r="AA113" i="25" s="1"/>
  <c r="AB113" i="25" s="1"/>
  <c r="AO13" i="25"/>
  <c r="W8" i="25"/>
  <c r="Z8" i="25" s="1"/>
  <c r="AA8" i="25" s="1"/>
  <c r="AB8" i="25" s="1"/>
  <c r="AD8" i="25"/>
  <c r="AE8" i="25" s="1"/>
  <c r="U8" i="25"/>
  <c r="V8" i="25"/>
  <c r="V120" i="25"/>
  <c r="U120" i="25"/>
  <c r="V86" i="25"/>
  <c r="U86" i="25"/>
  <c r="V88" i="25"/>
  <c r="U88" i="25"/>
  <c r="W20" i="25"/>
  <c r="Z20" i="25" s="1"/>
  <c r="AA20" i="25" s="1"/>
  <c r="AB20" i="25" s="1"/>
  <c r="AD20" i="25"/>
  <c r="AE20" i="25" s="1"/>
  <c r="AD45" i="25"/>
  <c r="AE45" i="25" s="1"/>
  <c r="W45" i="25"/>
  <c r="Z45" i="25" s="1"/>
  <c r="AA45" i="25" s="1"/>
  <c r="AB45" i="25" s="1"/>
  <c r="W37" i="25"/>
  <c r="Z37" i="25" s="1"/>
  <c r="AA37" i="25" s="1"/>
  <c r="AB37" i="25" s="1"/>
  <c r="AD37" i="25"/>
  <c r="AE37" i="25" s="1"/>
  <c r="W30" i="25"/>
  <c r="Z30" i="25" s="1"/>
  <c r="AA30" i="25" s="1"/>
  <c r="AB30" i="25" s="1"/>
  <c r="AD30" i="25"/>
  <c r="AE30" i="25" s="1"/>
  <c r="V201" i="25"/>
  <c r="U201" i="25"/>
  <c r="U267" i="25"/>
  <c r="V267" i="25"/>
  <c r="AD190" i="25"/>
  <c r="AE190" i="25" s="1"/>
  <c r="W190" i="25"/>
  <c r="Z190" i="25" s="1"/>
  <c r="AA190" i="25" s="1"/>
  <c r="AD197" i="25"/>
  <c r="AE197" i="25" s="1"/>
  <c r="W197" i="25"/>
  <c r="Z197" i="25" s="1"/>
  <c r="AA197" i="25" s="1"/>
  <c r="U173" i="25"/>
  <c r="V173" i="25"/>
  <c r="AD133" i="25"/>
  <c r="AE133" i="25" s="1"/>
  <c r="W133" i="25"/>
  <c r="Z133" i="25" s="1"/>
  <c r="AA133" i="25" s="1"/>
  <c r="AD290" i="25"/>
  <c r="AE290" i="25" s="1"/>
  <c r="W290" i="25"/>
  <c r="Z290" i="25" s="1"/>
  <c r="AA290" i="25" s="1"/>
  <c r="U223" i="25"/>
  <c r="V223" i="25"/>
  <c r="AO17" i="25"/>
  <c r="AD124" i="25"/>
  <c r="AE124" i="25" s="1"/>
  <c r="W124" i="25"/>
  <c r="Z124" i="25" s="1"/>
  <c r="AA124" i="25" s="1"/>
  <c r="AB124" i="25" s="1"/>
  <c r="V74" i="25"/>
  <c r="U74" i="25"/>
  <c r="W76" i="25"/>
  <c r="Z76" i="25" s="1"/>
  <c r="AA76" i="25" s="1"/>
  <c r="AB76" i="25" s="1"/>
  <c r="AD76" i="25"/>
  <c r="AE76" i="25" s="1"/>
  <c r="AD121" i="25"/>
  <c r="AE121" i="25" s="1"/>
  <c r="W121" i="25"/>
  <c r="Z121" i="25" s="1"/>
  <c r="AA121" i="25" s="1"/>
  <c r="AB121" i="25" s="1"/>
  <c r="V58" i="25"/>
  <c r="U58" i="25"/>
  <c r="V38" i="25"/>
  <c r="U38" i="25"/>
  <c r="AD300" i="25"/>
  <c r="AE300" i="25" s="1"/>
  <c r="W300" i="25"/>
  <c r="Z300" i="25" s="1"/>
  <c r="AA300" i="25" s="1"/>
  <c r="V279" i="25"/>
  <c r="U279" i="25"/>
  <c r="W309" i="25"/>
  <c r="Z309" i="25" s="1"/>
  <c r="AA309" i="25" s="1"/>
  <c r="AD309" i="25"/>
  <c r="AE309" i="25" s="1"/>
  <c r="V309" i="25"/>
  <c r="U309" i="25"/>
  <c r="U241" i="25"/>
  <c r="V241" i="25"/>
  <c r="AD204" i="25"/>
  <c r="AE204" i="25" s="1"/>
  <c r="W204" i="25"/>
  <c r="Z204" i="25" s="1"/>
  <c r="AA204" i="25" s="1"/>
  <c r="U254" i="25"/>
  <c r="V254" i="25"/>
  <c r="AD238" i="25"/>
  <c r="AE238" i="25" s="1"/>
  <c r="W238" i="25"/>
  <c r="Z238" i="25" s="1"/>
  <c r="AA238" i="25" s="1"/>
  <c r="AO238" i="25"/>
  <c r="AO308" i="25"/>
  <c r="AO206" i="25"/>
  <c r="AO183" i="25"/>
  <c r="AO151" i="25"/>
  <c r="AD264" i="25"/>
  <c r="AE264" i="25" s="1"/>
  <c r="W264" i="25"/>
  <c r="Z264" i="25" s="1"/>
  <c r="AA264" i="25" s="1"/>
  <c r="AO264" i="25"/>
  <c r="U240" i="25"/>
  <c r="V240" i="25"/>
  <c r="AD232" i="25"/>
  <c r="AE232" i="25" s="1"/>
  <c r="W232" i="25"/>
  <c r="Z232" i="25" s="1"/>
  <c r="AA232" i="25" s="1"/>
  <c r="AO232" i="25"/>
  <c r="AD170" i="25"/>
  <c r="AE170" i="25" s="1"/>
  <c r="W170" i="25"/>
  <c r="Z170" i="25" s="1"/>
  <c r="AA170" i="25" s="1"/>
  <c r="AB170" i="25" s="1"/>
  <c r="U170" i="25"/>
  <c r="V170" i="25"/>
  <c r="AD138" i="25"/>
  <c r="AE138" i="25" s="1"/>
  <c r="W138" i="25"/>
  <c r="Z138" i="25" s="1"/>
  <c r="AA138" i="25" s="1"/>
  <c r="AB138" i="25" s="1"/>
  <c r="U138" i="25"/>
  <c r="V138" i="25"/>
  <c r="AO196" i="25"/>
  <c r="W188" i="25"/>
  <c r="Z188" i="25" s="1"/>
  <c r="AA188" i="25" s="1"/>
  <c r="AB188" i="25" s="1"/>
  <c r="AD188" i="25"/>
  <c r="AE188" i="25" s="1"/>
  <c r="AO180" i="25"/>
  <c r="W172" i="25"/>
  <c r="Z172" i="25" s="1"/>
  <c r="AA172" i="25" s="1"/>
  <c r="AB172" i="25" s="1"/>
  <c r="AD172" i="25"/>
  <c r="AE172" i="25" s="1"/>
  <c r="AO164" i="25"/>
  <c r="W156" i="25"/>
  <c r="Z156" i="25" s="1"/>
  <c r="AA156" i="25" s="1"/>
  <c r="AB156" i="25" s="1"/>
  <c r="AD156" i="25"/>
  <c r="AE156" i="25" s="1"/>
  <c r="AO148" i="25"/>
  <c r="W140" i="25"/>
  <c r="Z140" i="25" s="1"/>
  <c r="AA140" i="25" s="1"/>
  <c r="AB140" i="25" s="1"/>
  <c r="AD140" i="25"/>
  <c r="AE140" i="25" s="1"/>
  <c r="AO132" i="25"/>
  <c r="AD123" i="25"/>
  <c r="AE123" i="25" s="1"/>
  <c r="W123" i="25"/>
  <c r="Z123" i="25" s="1"/>
  <c r="AA123" i="25" s="1"/>
  <c r="AO123" i="25"/>
  <c r="U230" i="25"/>
  <c r="V230" i="25"/>
  <c r="AD222" i="25"/>
  <c r="AE222" i="25" s="1"/>
  <c r="W222" i="25"/>
  <c r="Z222" i="25" s="1"/>
  <c r="AA222" i="25" s="1"/>
  <c r="AO222" i="25"/>
  <c r="AO122" i="25"/>
  <c r="V87" i="25"/>
  <c r="U87" i="25"/>
  <c r="V71" i="25"/>
  <c r="U71" i="25"/>
  <c r="AO55" i="25"/>
  <c r="AO39" i="25"/>
  <c r="AO19" i="25"/>
  <c r="AO113" i="25"/>
  <c r="AO65" i="25"/>
  <c r="AO33" i="25"/>
  <c r="AO8" i="25"/>
  <c r="AO86" i="25"/>
  <c r="AO70" i="25"/>
  <c r="AO88" i="25"/>
  <c r="AO72" i="25"/>
  <c r="AO56" i="25"/>
  <c r="V40" i="25"/>
  <c r="U40" i="25"/>
  <c r="AO40" i="25"/>
  <c r="V20" i="25"/>
  <c r="U20" i="25"/>
  <c r="AO20" i="25"/>
  <c r="AO89" i="25"/>
  <c r="V89" i="25"/>
  <c r="U89" i="25"/>
  <c r="AO45" i="25"/>
  <c r="V45" i="25"/>
  <c r="U45" i="25"/>
  <c r="AO50" i="25"/>
  <c r="AO30" i="25"/>
  <c r="V14" i="25"/>
  <c r="U14" i="25"/>
  <c r="V316" i="25"/>
  <c r="U316" i="25"/>
  <c r="W201" i="25"/>
  <c r="Z201" i="25" s="1"/>
  <c r="AA201" i="25" s="1"/>
  <c r="AB201" i="25" s="1"/>
  <c r="AD201" i="25"/>
  <c r="AE201" i="25" s="1"/>
  <c r="AO187" i="25"/>
  <c r="AD155" i="25"/>
  <c r="AE155" i="25" s="1"/>
  <c r="W155" i="25"/>
  <c r="Z155" i="25" s="1"/>
  <c r="AA155" i="25" s="1"/>
  <c r="U251" i="25"/>
  <c r="V251" i="25"/>
  <c r="AD235" i="25"/>
  <c r="AE235" i="25" s="1"/>
  <c r="W235" i="25"/>
  <c r="Z235" i="25" s="1"/>
  <c r="AA235" i="25" s="1"/>
  <c r="AO235" i="25"/>
  <c r="AO190" i="25"/>
  <c r="AO173" i="25"/>
  <c r="AO141" i="25"/>
  <c r="V111" i="25"/>
  <c r="U111" i="25"/>
  <c r="V98" i="25"/>
  <c r="U98" i="25"/>
  <c r="V75" i="25"/>
  <c r="U75" i="25"/>
  <c r="V23" i="25"/>
  <c r="U23" i="25"/>
  <c r="V73" i="25"/>
  <c r="U73" i="25"/>
  <c r="V17" i="25"/>
  <c r="U17" i="25"/>
  <c r="V76" i="25"/>
  <c r="U76" i="25"/>
  <c r="AO58" i="25"/>
  <c r="AO199" i="25"/>
  <c r="AO167" i="25"/>
  <c r="AO135" i="25"/>
  <c r="AO274" i="25"/>
  <c r="U256" i="25"/>
  <c r="V256" i="25"/>
  <c r="AD248" i="25"/>
  <c r="AE248" i="25" s="1"/>
  <c r="W248" i="25"/>
  <c r="Z248" i="25" s="1"/>
  <c r="AA248" i="25" s="1"/>
  <c r="AO248" i="25"/>
  <c r="U217" i="25"/>
  <c r="V217" i="25"/>
  <c r="AD186" i="25"/>
  <c r="AE186" i="25" s="1"/>
  <c r="W186" i="25"/>
  <c r="Z186" i="25" s="1"/>
  <c r="AA186" i="25" s="1"/>
  <c r="AB186" i="25" s="1"/>
  <c r="U186" i="25"/>
  <c r="V186" i="25"/>
  <c r="AD154" i="25"/>
  <c r="AE154" i="25" s="1"/>
  <c r="W154" i="25"/>
  <c r="Z154" i="25" s="1"/>
  <c r="AA154" i="25" s="1"/>
  <c r="AB154" i="25" s="1"/>
  <c r="U154" i="25"/>
  <c r="V154" i="25"/>
  <c r="W196" i="25"/>
  <c r="Z196" i="25" s="1"/>
  <c r="AA196" i="25" s="1"/>
  <c r="AB196" i="25" s="1"/>
  <c r="AD196" i="25"/>
  <c r="AE196" i="25" s="1"/>
  <c r="AO188" i="25"/>
  <c r="W180" i="25"/>
  <c r="Z180" i="25" s="1"/>
  <c r="AA180" i="25" s="1"/>
  <c r="AB180" i="25" s="1"/>
  <c r="AD180" i="25"/>
  <c r="AE180" i="25" s="1"/>
  <c r="AO172" i="25"/>
  <c r="W164" i="25"/>
  <c r="Z164" i="25" s="1"/>
  <c r="AA164" i="25" s="1"/>
  <c r="AB164" i="25" s="1"/>
  <c r="AD164" i="25"/>
  <c r="AE164" i="25" s="1"/>
  <c r="AO156" i="25"/>
  <c r="W148" i="25"/>
  <c r="Z148" i="25" s="1"/>
  <c r="AA148" i="25" s="1"/>
  <c r="AB148" i="25" s="1"/>
  <c r="AD148" i="25"/>
  <c r="AE148" i="25" s="1"/>
  <c r="AO140" i="25"/>
  <c r="W132" i="25"/>
  <c r="Z132" i="25" s="1"/>
  <c r="AA132" i="25" s="1"/>
  <c r="AB132" i="25" s="1"/>
  <c r="AD132" i="25"/>
  <c r="AE132" i="25" s="1"/>
  <c r="AD105" i="25"/>
  <c r="AE105" i="25" s="1"/>
  <c r="W105" i="25"/>
  <c r="Z105" i="25" s="1"/>
  <c r="AA105" i="25" s="1"/>
  <c r="AB105" i="25" s="1"/>
  <c r="V105" i="25"/>
  <c r="U105" i="25"/>
  <c r="AD101" i="25"/>
  <c r="AE101" i="25" s="1"/>
  <c r="W101" i="25"/>
  <c r="Z101" i="25" s="1"/>
  <c r="AA101" i="25" s="1"/>
  <c r="AB101" i="25" s="1"/>
  <c r="V101" i="25"/>
  <c r="U101" i="25"/>
  <c r="AD97" i="25"/>
  <c r="AE97" i="25" s="1"/>
  <c r="W97" i="25"/>
  <c r="Z97" i="25" s="1"/>
  <c r="AA97" i="25" s="1"/>
  <c r="AB97" i="25" s="1"/>
  <c r="V97" i="25"/>
  <c r="U97" i="25"/>
  <c r="AD93" i="25"/>
  <c r="AE93" i="25" s="1"/>
  <c r="W93" i="25"/>
  <c r="Z93" i="25" s="1"/>
  <c r="AA93" i="25" s="1"/>
  <c r="AB93" i="25" s="1"/>
  <c r="V93" i="25"/>
  <c r="U93" i="25"/>
  <c r="AD277" i="25"/>
  <c r="AE277" i="25" s="1"/>
  <c r="W277" i="25"/>
  <c r="Z277" i="25" s="1"/>
  <c r="AA277" i="25" s="1"/>
  <c r="AO71" i="25"/>
  <c r="V65" i="25"/>
  <c r="U65" i="25"/>
  <c r="V33" i="25"/>
  <c r="U33" i="25"/>
  <c r="V13" i="25"/>
  <c r="U13" i="25"/>
  <c r="V72" i="25"/>
  <c r="U72" i="25"/>
  <c r="V56" i="25"/>
  <c r="U56" i="25"/>
  <c r="AO316" i="25"/>
  <c r="AD187" i="25"/>
  <c r="AE187" i="25" s="1"/>
  <c r="W187" i="25"/>
  <c r="Z187" i="25" s="1"/>
  <c r="AA187" i="25" s="1"/>
  <c r="AO155" i="25"/>
  <c r="AD267" i="25"/>
  <c r="AE267" i="25" s="1"/>
  <c r="W267" i="25"/>
  <c r="Z267" i="25" s="1"/>
  <c r="AA267" i="25" s="1"/>
  <c r="AO267" i="25"/>
  <c r="AO158" i="25"/>
  <c r="AO197" i="25"/>
  <c r="AO157" i="25"/>
  <c r="AO133" i="25"/>
  <c r="AO98" i="25"/>
  <c r="U290" i="25"/>
  <c r="V290" i="25"/>
  <c r="AD223" i="25"/>
  <c r="AE223" i="25" s="1"/>
  <c r="W223" i="25"/>
  <c r="Z223" i="25" s="1"/>
  <c r="AA223" i="25" s="1"/>
  <c r="AO223" i="25"/>
  <c r="AO43" i="25"/>
  <c r="AO74" i="25"/>
  <c r="AO76" i="25"/>
  <c r="AO44" i="25"/>
  <c r="AO121" i="25"/>
  <c r="K67" i="23"/>
  <c r="M67" i="23" s="1"/>
  <c r="L103" i="23"/>
  <c r="M103" i="23" s="1"/>
  <c r="L88" i="23"/>
  <c r="M88" i="23" s="1"/>
  <c r="K20" i="23"/>
  <c r="M20" i="23" s="1"/>
  <c r="AP5" i="24"/>
  <c r="W315" i="24"/>
  <c r="Y315" i="24" s="1"/>
  <c r="K63" i="23"/>
  <c r="M63" i="23" s="1"/>
  <c r="L49" i="23"/>
  <c r="M49" i="23" s="1"/>
  <c r="K84" i="23"/>
  <c r="M84" i="23" s="1"/>
  <c r="AP224" i="24"/>
  <c r="L60" i="23"/>
  <c r="M60" i="23" s="1"/>
  <c r="AP228" i="24"/>
  <c r="AP270" i="24"/>
  <c r="W303" i="24"/>
  <c r="Y303" i="24" s="1"/>
  <c r="AP259" i="24"/>
  <c r="AP230" i="24"/>
  <c r="AP274" i="24"/>
  <c r="AP252" i="24"/>
  <c r="AP284" i="24"/>
  <c r="AP241" i="24"/>
  <c r="AP273" i="24"/>
  <c r="AP305" i="24"/>
  <c r="AP286" i="24"/>
  <c r="AP288" i="24"/>
  <c r="AP265" i="24"/>
  <c r="AP266" i="24"/>
  <c r="AP237" i="24"/>
  <c r="AP269" i="24"/>
  <c r="AP250" i="24"/>
  <c r="AP223" i="24"/>
  <c r="AP255" i="24"/>
  <c r="AP287" i="24"/>
  <c r="AP310" i="24"/>
  <c r="AP258" i="24"/>
  <c r="AP235" i="24"/>
  <c r="AP299" i="24"/>
  <c r="W301" i="24"/>
  <c r="Y301" i="24" s="1"/>
  <c r="AP232" i="24"/>
  <c r="AP264" i="24"/>
  <c r="AP296" i="24"/>
  <c r="AP221" i="24"/>
  <c r="AP226" i="24"/>
  <c r="AP263" i="24"/>
  <c r="W234" i="24"/>
  <c r="Y234" i="24" s="1"/>
  <c r="W293" i="24"/>
  <c r="Y293" i="24" s="1"/>
  <c r="AP239" i="24"/>
  <c r="AP271" i="24"/>
  <c r="AP303" i="24"/>
  <c r="AP262" i="24"/>
  <c r="AP175" i="24"/>
  <c r="AP209" i="24"/>
  <c r="AP129" i="24"/>
  <c r="AP177" i="24"/>
  <c r="AP201" i="24"/>
  <c r="AP173" i="24"/>
  <c r="AP172" i="24"/>
  <c r="AP189" i="24"/>
  <c r="AP194" i="24"/>
  <c r="AP198" i="24"/>
  <c r="AP184" i="24"/>
  <c r="AP200" i="24"/>
  <c r="AP118" i="24"/>
  <c r="AP117" i="24"/>
  <c r="W233" i="24"/>
  <c r="Y233" i="24" s="1"/>
  <c r="AP192" i="24"/>
  <c r="AP208" i="24"/>
  <c r="AP179" i="24"/>
  <c r="AP191" i="24"/>
  <c r="AP233" i="24"/>
  <c r="AP168" i="24"/>
  <c r="AP181" i="24"/>
  <c r="AP246" i="24"/>
  <c r="AP190" i="24"/>
  <c r="AP167" i="24"/>
  <c r="AP188" i="24"/>
  <c r="AP204" i="24"/>
  <c r="AP298" i="24"/>
  <c r="AP183" i="24"/>
  <c r="W239" i="24"/>
  <c r="Y239" i="24" s="1"/>
  <c r="AP193" i="24"/>
  <c r="AP203" i="24"/>
  <c r="AP148" i="24"/>
  <c r="AP180" i="24"/>
  <c r="AP182" i="24"/>
  <c r="AP199" i="24"/>
  <c r="AP279" i="24"/>
  <c r="AP171" i="24"/>
  <c r="AP276" i="24"/>
  <c r="AP306" i="24"/>
  <c r="AP249" i="24"/>
  <c r="AP313" i="24"/>
  <c r="AP170" i="24"/>
  <c r="AP247" i="24"/>
  <c r="AP295" i="24"/>
  <c r="AP197" i="24"/>
  <c r="AP242" i="24"/>
  <c r="AP125" i="24"/>
  <c r="AP187" i="24"/>
  <c r="AP165" i="24"/>
  <c r="AP121" i="24"/>
  <c r="AP174" i="24"/>
  <c r="AP176" i="24"/>
  <c r="AP169" i="24"/>
  <c r="AP206" i="24"/>
  <c r="AP141" i="24"/>
  <c r="AP178" i="24"/>
  <c r="AP210" i="24"/>
  <c r="AP244" i="24"/>
  <c r="AP205" i="24"/>
  <c r="AP217" i="24"/>
  <c r="AP185" i="24"/>
  <c r="W271" i="24"/>
  <c r="Y271" i="24" s="1"/>
  <c r="AP196" i="24"/>
  <c r="AP166" i="24"/>
  <c r="AP202" i="24"/>
  <c r="AP229" i="24"/>
  <c r="AP261" i="24"/>
  <c r="AP154" i="24"/>
  <c r="AP186" i="24"/>
  <c r="AP207" i="24"/>
  <c r="AP195" i="24"/>
  <c r="AP292" i="24"/>
  <c r="AP119" i="24"/>
  <c r="AP218" i="24"/>
  <c r="AP130" i="24"/>
  <c r="AP220" i="24"/>
  <c r="AP316" i="24"/>
  <c r="AP227" i="24"/>
  <c r="AP291" i="24"/>
  <c r="AP256" i="24"/>
  <c r="AP133" i="24"/>
  <c r="AP293" i="24"/>
  <c r="AP282" i="24"/>
  <c r="AP267" i="24"/>
  <c r="AP278" i="24"/>
  <c r="AP231" i="24"/>
  <c r="AP311" i="24"/>
  <c r="W287" i="24"/>
  <c r="Y287" i="24" s="1"/>
  <c r="W268" i="24"/>
  <c r="Y268" i="24" s="1"/>
  <c r="W228" i="24"/>
  <c r="Y228" i="24" s="1"/>
  <c r="W229" i="24"/>
  <c r="Y229" i="24" s="1"/>
  <c r="W288" i="24"/>
  <c r="Y288" i="24" s="1"/>
  <c r="AP302" i="24"/>
  <c r="AP301" i="24"/>
  <c r="AP289" i="24"/>
  <c r="AP134" i="24"/>
  <c r="AP111" i="24"/>
  <c r="AP308" i="24"/>
  <c r="AP281" i="24"/>
  <c r="AP113" i="24"/>
  <c r="AP243" i="24"/>
  <c r="AP275" i="24"/>
  <c r="AP307" i="24"/>
  <c r="AP240" i="24"/>
  <c r="AP238" i="24"/>
  <c r="AP245" i="24"/>
  <c r="AP277" i="24"/>
  <c r="AP309" i="24"/>
  <c r="AP156" i="24"/>
  <c r="AP297" i="24"/>
  <c r="W266" i="24"/>
  <c r="Y266" i="24" s="1"/>
  <c r="AP219" i="24"/>
  <c r="AP251" i="24"/>
  <c r="AP283" i="24"/>
  <c r="AP315" i="24"/>
  <c r="AP222" i="24"/>
  <c r="AP116" i="24"/>
  <c r="AP253" i="24"/>
  <c r="AP285" i="24"/>
  <c r="AP162" i="24"/>
  <c r="AP234" i="24"/>
  <c r="AP314" i="24"/>
  <c r="AP236" i="24"/>
  <c r="AP268" i="24"/>
  <c r="AP300" i="24"/>
  <c r="AP225" i="24"/>
  <c r="AP257" i="24"/>
  <c r="AP158" i="24"/>
  <c r="AP136" i="24"/>
  <c r="AP147" i="24"/>
  <c r="AP260" i="24"/>
  <c r="AP254" i="24"/>
  <c r="AP294" i="24"/>
  <c r="AP248" i="24"/>
  <c r="AP280" i="24"/>
  <c r="AP312" i="24"/>
  <c r="AP139" i="24"/>
  <c r="AP114" i="24"/>
  <c r="AP145" i="24"/>
  <c r="AP140" i="24"/>
  <c r="AP163" i="24"/>
  <c r="AP124" i="24"/>
  <c r="AP272" i="24"/>
  <c r="AP304" i="24"/>
  <c r="AP290" i="24"/>
  <c r="AP161" i="24"/>
  <c r="AP137" i="24"/>
  <c r="W127" i="24"/>
  <c r="Y127" i="24" s="1"/>
  <c r="X127" i="24"/>
  <c r="AA127" i="24" s="1"/>
  <c r="AB127" i="24" s="1"/>
  <c r="AC127" i="24" s="1"/>
  <c r="AE127" i="24"/>
  <c r="AI127" i="24"/>
  <c r="V123" i="24"/>
  <c r="V199" i="24"/>
  <c r="V191" i="24"/>
  <c r="W121" i="24"/>
  <c r="Y121" i="24" s="1"/>
  <c r="X121" i="24"/>
  <c r="AA121" i="24" s="1"/>
  <c r="AB121" i="24" s="1"/>
  <c r="AC121" i="24" s="1"/>
  <c r="AE121" i="24"/>
  <c r="AI121" i="24"/>
  <c r="V310" i="24"/>
  <c r="W310" i="24"/>
  <c r="V131" i="24"/>
  <c r="W258" i="24"/>
  <c r="Y258" i="24" s="1"/>
  <c r="V173" i="24"/>
  <c r="W173" i="24"/>
  <c r="AE111" i="24"/>
  <c r="X111" i="24"/>
  <c r="AA111" i="24" s="1"/>
  <c r="AB111" i="24" s="1"/>
  <c r="AC111" i="24" s="1"/>
  <c r="AI111" i="24"/>
  <c r="X197" i="24"/>
  <c r="AA197" i="24" s="1"/>
  <c r="AB197" i="24" s="1"/>
  <c r="AC197" i="24" s="1"/>
  <c r="AE197" i="24"/>
  <c r="L100" i="23"/>
  <c r="M100" i="23" s="1"/>
  <c r="W219" i="24"/>
  <c r="Y219" i="24" s="1"/>
  <c r="AP144" i="24"/>
  <c r="AP160" i="24"/>
  <c r="AP126" i="24"/>
  <c r="AP143" i="24"/>
  <c r="X175" i="24"/>
  <c r="AA175" i="24" s="1"/>
  <c r="AB175" i="24" s="1"/>
  <c r="AC175" i="24" s="1"/>
  <c r="AJ175" i="24" s="1"/>
  <c r="AE175" i="24"/>
  <c r="AP146" i="24"/>
  <c r="W178" i="24"/>
  <c r="Y178" i="24" s="1"/>
  <c r="X178" i="24"/>
  <c r="AA178" i="24" s="1"/>
  <c r="AB178" i="24" s="1"/>
  <c r="AC178" i="24" s="1"/>
  <c r="AJ178" i="24" s="1"/>
  <c r="AE178" i="24"/>
  <c r="AP120" i="24"/>
  <c r="AP132" i="24"/>
  <c r="AP164" i="24"/>
  <c r="V201" i="24"/>
  <c r="AP151" i="24"/>
  <c r="AP123" i="24"/>
  <c r="AP155" i="24"/>
  <c r="AP150" i="24"/>
  <c r="V111" i="24"/>
  <c r="W111" i="24"/>
  <c r="X140" i="24"/>
  <c r="AA140" i="24" s="1"/>
  <c r="AB140" i="24" s="1"/>
  <c r="AC140" i="24" s="1"/>
  <c r="AJ140" i="24" s="1"/>
  <c r="AE140" i="24"/>
  <c r="V189" i="24"/>
  <c r="V194" i="24"/>
  <c r="AP135" i="24"/>
  <c r="V198" i="24"/>
  <c r="AP152" i="24"/>
  <c r="W138" i="24"/>
  <c r="Y138" i="24" s="1"/>
  <c r="AE138" i="24"/>
  <c r="X138" i="24"/>
  <c r="AA138" i="24" s="1"/>
  <c r="AB138" i="24" s="1"/>
  <c r="AC138" i="24" s="1"/>
  <c r="AJ138" i="24" s="1"/>
  <c r="V207" i="24"/>
  <c r="V195" i="24"/>
  <c r="V115" i="24"/>
  <c r="V128" i="24"/>
  <c r="W197" i="24"/>
  <c r="V197" i="24"/>
  <c r="AP142" i="24"/>
  <c r="V187" i="24"/>
  <c r="V124" i="24"/>
  <c r="W124" i="24"/>
  <c r="V156" i="24"/>
  <c r="W250" i="24"/>
  <c r="Y250" i="24" s="1"/>
  <c r="AE160" i="24"/>
  <c r="X160" i="24"/>
  <c r="AA160" i="24" s="1"/>
  <c r="AB160" i="24" s="1"/>
  <c r="AC160" i="24" s="1"/>
  <c r="AJ160" i="24" s="1"/>
  <c r="AE126" i="24"/>
  <c r="X126" i="24"/>
  <c r="AA126" i="24" s="1"/>
  <c r="AB126" i="24" s="1"/>
  <c r="AC126" i="24" s="1"/>
  <c r="AJ126" i="24" s="1"/>
  <c r="V193" i="24"/>
  <c r="V175" i="24"/>
  <c r="W175" i="24"/>
  <c r="V141" i="24"/>
  <c r="V165" i="24"/>
  <c r="W129" i="24"/>
  <c r="Y129" i="24" s="1"/>
  <c r="X129" i="24"/>
  <c r="AA129" i="24" s="1"/>
  <c r="AB129" i="24" s="1"/>
  <c r="AC129" i="24" s="1"/>
  <c r="AJ129" i="24" s="1"/>
  <c r="AE129" i="24"/>
  <c r="V203" i="24"/>
  <c r="W164" i="24"/>
  <c r="Y164" i="24" s="1"/>
  <c r="X164" i="24"/>
  <c r="AA164" i="24" s="1"/>
  <c r="AB164" i="24" s="1"/>
  <c r="AC164" i="24" s="1"/>
  <c r="AJ164" i="24" s="1"/>
  <c r="AE164" i="24"/>
  <c r="X180" i="24"/>
  <c r="AA180" i="24" s="1"/>
  <c r="AB180" i="24" s="1"/>
  <c r="AC180" i="24" s="1"/>
  <c r="AJ180" i="24" s="1"/>
  <c r="AE180" i="24"/>
  <c r="AP131" i="24"/>
  <c r="V140" i="24"/>
  <c r="W140" i="24"/>
  <c r="V172" i="24"/>
  <c r="W135" i="24"/>
  <c r="Y135" i="24" s="1"/>
  <c r="X135" i="24"/>
  <c r="AA135" i="24" s="1"/>
  <c r="AB135" i="24" s="1"/>
  <c r="AC135" i="24" s="1"/>
  <c r="AJ135" i="24" s="1"/>
  <c r="AE135" i="24"/>
  <c r="W202" i="24"/>
  <c r="Y202" i="24" s="1"/>
  <c r="X202" i="24"/>
  <c r="AA202" i="24" s="1"/>
  <c r="AB202" i="24" s="1"/>
  <c r="AC202" i="24" s="1"/>
  <c r="AJ202" i="24" s="1"/>
  <c r="AE202" i="24"/>
  <c r="AE200" i="24"/>
  <c r="X200" i="24"/>
  <c r="AA200" i="24" s="1"/>
  <c r="AB200" i="24" s="1"/>
  <c r="AC200" i="24" s="1"/>
  <c r="AJ200" i="24" s="1"/>
  <c r="AP157" i="24"/>
  <c r="AP112" i="24"/>
  <c r="V159" i="24"/>
  <c r="V133" i="24"/>
  <c r="V185" i="24"/>
  <c r="V167" i="24"/>
  <c r="V154" i="24"/>
  <c r="V186" i="24"/>
  <c r="V147" i="24"/>
  <c r="V125" i="24"/>
  <c r="V112" i="24"/>
  <c r="W251" i="24"/>
  <c r="Y251" i="24" s="1"/>
  <c r="V160" i="24"/>
  <c r="W160" i="24"/>
  <c r="V176" i="24"/>
  <c r="V192" i="24"/>
  <c r="V208" i="24"/>
  <c r="V126" i="24"/>
  <c r="W126" i="24"/>
  <c r="V169" i="24"/>
  <c r="V143" i="24"/>
  <c r="V116" i="24"/>
  <c r="V162" i="24"/>
  <c r="V179" i="24"/>
  <c r="V132" i="24"/>
  <c r="W180" i="24"/>
  <c r="V180" i="24"/>
  <c r="AP127" i="24"/>
  <c r="AE173" i="24"/>
  <c r="X173" i="24"/>
  <c r="AA173" i="24" s="1"/>
  <c r="AB173" i="24" s="1"/>
  <c r="AC173" i="24" s="1"/>
  <c r="AJ173" i="24" s="1"/>
  <c r="AP122" i="24"/>
  <c r="AP153" i="24"/>
  <c r="V158" i="24"/>
  <c r="V163" i="24"/>
  <c r="V113" i="24"/>
  <c r="V152" i="24"/>
  <c r="V200" i="24"/>
  <c r="W200" i="24"/>
  <c r="W118" i="24"/>
  <c r="Y118" i="24" s="1"/>
  <c r="AE118" i="24"/>
  <c r="X118" i="24"/>
  <c r="AA118" i="24" s="1"/>
  <c r="AB118" i="24" s="1"/>
  <c r="AC118" i="24" s="1"/>
  <c r="AJ118" i="24" s="1"/>
  <c r="V205" i="24"/>
  <c r="AE124" i="24"/>
  <c r="X124" i="24"/>
  <c r="AA124" i="24" s="1"/>
  <c r="AB124" i="24" s="1"/>
  <c r="AC124" i="24" s="1"/>
  <c r="AJ124" i="24" s="1"/>
  <c r="AP159" i="24"/>
  <c r="AP149" i="24"/>
  <c r="AP138" i="24"/>
  <c r="AP115" i="24"/>
  <c r="AP128" i="24"/>
  <c r="AI197" i="24"/>
  <c r="V183" i="24"/>
  <c r="W220" i="24"/>
  <c r="Y220" i="24" s="1"/>
  <c r="L24" i="23"/>
  <c r="M24" i="23" s="1"/>
  <c r="K42" i="23"/>
  <c r="M42" i="23" s="1"/>
  <c r="K66" i="23"/>
  <c r="M66" i="23" s="1"/>
  <c r="K74" i="23"/>
  <c r="M74" i="23" s="1"/>
  <c r="X245" i="24"/>
  <c r="AA245" i="24" s="1"/>
  <c r="AB245" i="24" s="1"/>
  <c r="AC245" i="24" s="1"/>
  <c r="AE245" i="24"/>
  <c r="AI245" i="24"/>
  <c r="AI307" i="24"/>
  <c r="AE307" i="24"/>
  <c r="X307" i="24"/>
  <c r="AA307" i="24" s="1"/>
  <c r="AB307" i="24" s="1"/>
  <c r="AC307" i="24" s="1"/>
  <c r="V284" i="24"/>
  <c r="V227" i="24"/>
  <c r="W227" i="24"/>
  <c r="AE302" i="24"/>
  <c r="AI302" i="24"/>
  <c r="X302" i="24"/>
  <c r="AA302" i="24" s="1"/>
  <c r="AB302" i="24" s="1"/>
  <c r="AC302" i="24" s="1"/>
  <c r="W297" i="24"/>
  <c r="Y297" i="24" s="1"/>
  <c r="AI297" i="24"/>
  <c r="AE297" i="24"/>
  <c r="X297" i="24"/>
  <c r="AA297" i="24" s="1"/>
  <c r="AB297" i="24" s="1"/>
  <c r="AC297" i="24" s="1"/>
  <c r="V279" i="24"/>
  <c r="W279" i="24"/>
  <c r="V296" i="24"/>
  <c r="V245" i="24"/>
  <c r="W245" i="24"/>
  <c r="AE240" i="24"/>
  <c r="AI240" i="24"/>
  <c r="X240" i="24"/>
  <c r="AA240" i="24" s="1"/>
  <c r="AB240" i="24" s="1"/>
  <c r="AC240" i="24" s="1"/>
  <c r="AI259" i="24"/>
  <c r="AE259" i="24"/>
  <c r="X259" i="24"/>
  <c r="AA259" i="24" s="1"/>
  <c r="AB259" i="24" s="1"/>
  <c r="AC259" i="24" s="1"/>
  <c r="AE223" i="24"/>
  <c r="AI223" i="24"/>
  <c r="X223" i="24"/>
  <c r="AA223" i="24" s="1"/>
  <c r="AB223" i="24" s="1"/>
  <c r="AC223" i="24" s="1"/>
  <c r="AI264" i="24"/>
  <c r="AE264" i="24"/>
  <c r="X264" i="24"/>
  <c r="AA264" i="24" s="1"/>
  <c r="AB264" i="24" s="1"/>
  <c r="AC264" i="24" s="1"/>
  <c r="AE273" i="24"/>
  <c r="AI273" i="24"/>
  <c r="X273" i="24"/>
  <c r="AA273" i="24" s="1"/>
  <c r="AB273" i="24" s="1"/>
  <c r="AC273" i="24" s="1"/>
  <c r="V231" i="24"/>
  <c r="AE222" i="24"/>
  <c r="AI222" i="24"/>
  <c r="X222" i="24"/>
  <c r="AA222" i="24" s="1"/>
  <c r="AB222" i="24" s="1"/>
  <c r="AC222" i="24" s="1"/>
  <c r="AI243" i="24"/>
  <c r="AE243" i="24"/>
  <c r="X243" i="24"/>
  <c r="AA243" i="24" s="1"/>
  <c r="AB243" i="24" s="1"/>
  <c r="AC243" i="24" s="1"/>
  <c r="V312" i="24"/>
  <c r="V270" i="24"/>
  <c r="AI293" i="24"/>
  <c r="AE293" i="24"/>
  <c r="X293" i="24"/>
  <c r="AA293" i="24" s="1"/>
  <c r="AB293" i="24" s="1"/>
  <c r="AC293" i="24" s="1"/>
  <c r="V304" i="24"/>
  <c r="W304" i="24"/>
  <c r="AE301" i="24"/>
  <c r="AI301" i="24"/>
  <c r="X301" i="24"/>
  <c r="AA301" i="24" s="1"/>
  <c r="AB301" i="24" s="1"/>
  <c r="AC301" i="24" s="1"/>
  <c r="W307" i="24"/>
  <c r="Y307" i="24" s="1"/>
  <c r="AI241" i="24"/>
  <c r="AE241" i="24"/>
  <c r="X241" i="24"/>
  <c r="AA241" i="24" s="1"/>
  <c r="AB241" i="24" s="1"/>
  <c r="AC241" i="24" s="1"/>
  <c r="AE279" i="24"/>
  <c r="AI279" i="24"/>
  <c r="X279" i="24"/>
  <c r="AA279" i="24" s="1"/>
  <c r="AB279" i="24" s="1"/>
  <c r="AC279" i="24" s="1"/>
  <c r="AE236" i="24"/>
  <c r="AI236" i="24"/>
  <c r="X236" i="24"/>
  <c r="AA236" i="24" s="1"/>
  <c r="AB236" i="24" s="1"/>
  <c r="AC236" i="24" s="1"/>
  <c r="AE224" i="24"/>
  <c r="AI224" i="24"/>
  <c r="X224" i="24"/>
  <c r="AA224" i="24" s="1"/>
  <c r="AB224" i="24" s="1"/>
  <c r="AC224" i="24" s="1"/>
  <c r="V294" i="24"/>
  <c r="W294" i="24"/>
  <c r="V246" i="24"/>
  <c r="W236" i="24"/>
  <c r="Y236" i="24" s="1"/>
  <c r="W259" i="24"/>
  <c r="Y259" i="24" s="1"/>
  <c r="W273" i="24"/>
  <c r="Y273" i="24" s="1"/>
  <c r="AE285" i="24"/>
  <c r="AI285" i="24"/>
  <c r="X285" i="24"/>
  <c r="AA285" i="24" s="1"/>
  <c r="AB285" i="24" s="1"/>
  <c r="AC285" i="24" s="1"/>
  <c r="V316" i="24"/>
  <c r="W316" i="24"/>
  <c r="V276" i="24"/>
  <c r="V223" i="24"/>
  <c r="W223" i="24"/>
  <c r="V254" i="24"/>
  <c r="W254" i="24"/>
  <c r="V232" i="24"/>
  <c r="V309" i="24"/>
  <c r="W309" i="24"/>
  <c r="V314" i="24"/>
  <c r="W314" i="24"/>
  <c r="AI251" i="24"/>
  <c r="AE251" i="24"/>
  <c r="X251" i="24"/>
  <c r="AA251" i="24" s="1"/>
  <c r="AB251" i="24" s="1"/>
  <c r="AC251" i="24" s="1"/>
  <c r="AE216" i="24"/>
  <c r="AI216" i="24"/>
  <c r="X216" i="24"/>
  <c r="AA216" i="24" s="1"/>
  <c r="AB216" i="24" s="1"/>
  <c r="AC216" i="24" s="1"/>
  <c r="AI220" i="24"/>
  <c r="AE220" i="24"/>
  <c r="X220" i="24"/>
  <c r="AA220" i="24" s="1"/>
  <c r="AB220" i="24" s="1"/>
  <c r="AC220" i="24" s="1"/>
  <c r="AI287" i="24"/>
  <c r="AE287" i="24"/>
  <c r="X287" i="24"/>
  <c r="AA287" i="24" s="1"/>
  <c r="AB287" i="24" s="1"/>
  <c r="AC287" i="24" s="1"/>
  <c r="AI266" i="24"/>
  <c r="AE266" i="24"/>
  <c r="X266" i="24"/>
  <c r="AA266" i="24" s="1"/>
  <c r="AB266" i="24" s="1"/>
  <c r="AC266" i="24" s="1"/>
  <c r="V256" i="24"/>
  <c r="W256" i="24"/>
  <c r="AE316" i="24"/>
  <c r="AI316" i="24"/>
  <c r="X316" i="24"/>
  <c r="AA316" i="24" s="1"/>
  <c r="AB316" i="24" s="1"/>
  <c r="AC316" i="24" s="1"/>
  <c r="AI274" i="24"/>
  <c r="AE274" i="24"/>
  <c r="X274" i="24"/>
  <c r="AA274" i="24" s="1"/>
  <c r="AB274" i="24" s="1"/>
  <c r="AC274" i="24" s="1"/>
  <c r="AE254" i="24"/>
  <c r="AI254" i="24"/>
  <c r="X254" i="24"/>
  <c r="AA254" i="24" s="1"/>
  <c r="AB254" i="24" s="1"/>
  <c r="AC254" i="24" s="1"/>
  <c r="AE268" i="24"/>
  <c r="AI268" i="24"/>
  <c r="X268" i="24"/>
  <c r="AA268" i="24" s="1"/>
  <c r="AB268" i="24" s="1"/>
  <c r="AC268" i="24" s="1"/>
  <c r="AI219" i="24"/>
  <c r="AE219" i="24"/>
  <c r="X219" i="24"/>
  <c r="AA219" i="24" s="1"/>
  <c r="AB219" i="24" s="1"/>
  <c r="AC219" i="24" s="1"/>
  <c r="W274" i="24"/>
  <c r="V274" i="24"/>
  <c r="AI286" i="24"/>
  <c r="AE286" i="24"/>
  <c r="X286" i="24"/>
  <c r="AA286" i="24" s="1"/>
  <c r="AB286" i="24" s="1"/>
  <c r="AC286" i="24" s="1"/>
  <c r="AE235" i="24"/>
  <c r="AI235" i="24"/>
  <c r="X235" i="24"/>
  <c r="AA235" i="24" s="1"/>
  <c r="AB235" i="24" s="1"/>
  <c r="AC235" i="24" s="1"/>
  <c r="AE221" i="24"/>
  <c r="AI221" i="24"/>
  <c r="X221" i="24"/>
  <c r="AA221" i="24" s="1"/>
  <c r="AB221" i="24" s="1"/>
  <c r="AC221" i="24" s="1"/>
  <c r="V286" i="24"/>
  <c r="W286" i="24"/>
  <c r="V267" i="24"/>
  <c r="W243" i="24"/>
  <c r="V243" i="24"/>
  <c r="AI288" i="24"/>
  <c r="AE288" i="24"/>
  <c r="X288" i="24"/>
  <c r="AA288" i="24" s="1"/>
  <c r="AB288" i="24" s="1"/>
  <c r="AC288" i="24" s="1"/>
  <c r="X292" i="24"/>
  <c r="AA292" i="24" s="1"/>
  <c r="AB292" i="24" s="1"/>
  <c r="AC292" i="24" s="1"/>
  <c r="AI292" i="24"/>
  <c r="AE292" i="24"/>
  <c r="W240" i="24"/>
  <c r="Y240" i="24" s="1"/>
  <c r="AI250" i="24"/>
  <c r="AE250" i="24"/>
  <c r="X250" i="24"/>
  <c r="AA250" i="24" s="1"/>
  <c r="AB250" i="24" s="1"/>
  <c r="AC250" i="24" s="1"/>
  <c r="V262" i="24"/>
  <c r="V306" i="24"/>
  <c r="V300" i="24"/>
  <c r="W300" i="24"/>
  <c r="V247" i="24"/>
  <c r="W247" i="24"/>
  <c r="V264" i="24"/>
  <c r="W264" i="24"/>
  <c r="V235" i="24"/>
  <c r="W235" i="24"/>
  <c r="AE228" i="24"/>
  <c r="AI228" i="24"/>
  <c r="X228" i="24"/>
  <c r="AA228" i="24" s="1"/>
  <c r="AB228" i="24" s="1"/>
  <c r="AC228" i="24" s="1"/>
  <c r="V237" i="24"/>
  <c r="AE218" i="24"/>
  <c r="AI218" i="24"/>
  <c r="X218" i="24"/>
  <c r="AA218" i="24" s="1"/>
  <c r="AB218" i="24" s="1"/>
  <c r="AC218" i="24" s="1"/>
  <c r="X300" i="24"/>
  <c r="AA300" i="24" s="1"/>
  <c r="AB300" i="24" s="1"/>
  <c r="AC300" i="24" s="1"/>
  <c r="AI300" i="24"/>
  <c r="AE300" i="24"/>
  <c r="K58" i="23"/>
  <c r="M58" i="23" s="1"/>
  <c r="AE315" i="24"/>
  <c r="AI315" i="24"/>
  <c r="X315" i="24"/>
  <c r="AA315" i="24" s="1"/>
  <c r="AB315" i="24" s="1"/>
  <c r="AC315" i="24" s="1"/>
  <c r="AI271" i="24"/>
  <c r="AE271" i="24"/>
  <c r="X271" i="24"/>
  <c r="AA271" i="24" s="1"/>
  <c r="AB271" i="24" s="1"/>
  <c r="AC271" i="24" s="1"/>
  <c r="AE314" i="24"/>
  <c r="AI314" i="24"/>
  <c r="X314" i="24"/>
  <c r="AA314" i="24" s="1"/>
  <c r="AB314" i="24" s="1"/>
  <c r="AC314" i="24" s="1"/>
  <c r="AI234" i="24"/>
  <c r="AE234" i="24"/>
  <c r="X234" i="24"/>
  <c r="AA234" i="24" s="1"/>
  <c r="AB234" i="24" s="1"/>
  <c r="AC234" i="24" s="1"/>
  <c r="V308" i="24"/>
  <c r="V255" i="24"/>
  <c r="AE247" i="24"/>
  <c r="AI247" i="24"/>
  <c r="X247" i="24"/>
  <c r="AA247" i="24" s="1"/>
  <c r="AB247" i="24" s="1"/>
  <c r="AC247" i="24" s="1"/>
  <c r="AE309" i="24"/>
  <c r="AI309" i="24"/>
  <c r="X309" i="24"/>
  <c r="AA309" i="24" s="1"/>
  <c r="AB309" i="24" s="1"/>
  <c r="AC309" i="24" s="1"/>
  <c r="AI256" i="24"/>
  <c r="AE256" i="24"/>
  <c r="X256" i="24"/>
  <c r="AA256" i="24" s="1"/>
  <c r="AB256" i="24" s="1"/>
  <c r="AC256" i="24" s="1"/>
  <c r="W224" i="24"/>
  <c r="Y224" i="24" s="1"/>
  <c r="W241" i="24"/>
  <c r="Y241" i="24" s="1"/>
  <c r="W292" i="24"/>
  <c r="Y292" i="24" s="1"/>
  <c r="AI272" i="24"/>
  <c r="AE272" i="24"/>
  <c r="X272" i="24"/>
  <c r="AA272" i="24" s="1"/>
  <c r="AB272" i="24" s="1"/>
  <c r="AC272" i="24" s="1"/>
  <c r="V244" i="24"/>
  <c r="V302" i="24"/>
  <c r="W302" i="24"/>
  <c r="V222" i="24"/>
  <c r="W222" i="24"/>
  <c r="V299" i="24"/>
  <c r="V261" i="24"/>
  <c r="V218" i="24"/>
  <c r="W218" i="24"/>
  <c r="AE230" i="24"/>
  <c r="AI230" i="24"/>
  <c r="X230" i="24"/>
  <c r="AA230" i="24" s="1"/>
  <c r="AB230" i="24" s="1"/>
  <c r="AC230" i="24" s="1"/>
  <c r="AE258" i="24"/>
  <c r="AI258" i="24"/>
  <c r="X258" i="24"/>
  <c r="AA258" i="24" s="1"/>
  <c r="AB258" i="24" s="1"/>
  <c r="AC258" i="24" s="1"/>
  <c r="AI303" i="24"/>
  <c r="AE303" i="24"/>
  <c r="X303" i="24"/>
  <c r="AA303" i="24" s="1"/>
  <c r="AB303" i="24" s="1"/>
  <c r="AC303" i="24" s="1"/>
  <c r="W275" i="24"/>
  <c r="Y275" i="24" s="1"/>
  <c r="AI275" i="24"/>
  <c r="AE275" i="24"/>
  <c r="X275" i="24"/>
  <c r="AA275" i="24" s="1"/>
  <c r="AB275" i="24" s="1"/>
  <c r="AC275" i="24" s="1"/>
  <c r="AE233" i="24"/>
  <c r="AI233" i="24"/>
  <c r="X233" i="24"/>
  <c r="AA233" i="24" s="1"/>
  <c r="AB233" i="24" s="1"/>
  <c r="AC233" i="24" s="1"/>
  <c r="AE229" i="24"/>
  <c r="AI229" i="24"/>
  <c r="X229" i="24"/>
  <c r="AA229" i="24" s="1"/>
  <c r="AB229" i="24" s="1"/>
  <c r="AC229" i="24" s="1"/>
  <c r="AE304" i="24"/>
  <c r="AI304" i="24"/>
  <c r="X304" i="24"/>
  <c r="AA304" i="24" s="1"/>
  <c r="AB304" i="24" s="1"/>
  <c r="AC304" i="24" s="1"/>
  <c r="AI239" i="24"/>
  <c r="AE239" i="24"/>
  <c r="X239" i="24"/>
  <c r="AA239" i="24" s="1"/>
  <c r="AB239" i="24" s="1"/>
  <c r="AC239" i="24" s="1"/>
  <c r="AE310" i="24"/>
  <c r="AI310" i="24"/>
  <c r="X310" i="24"/>
  <c r="AA310" i="24" s="1"/>
  <c r="AB310" i="24" s="1"/>
  <c r="AC310" i="24" s="1"/>
  <c r="AE294" i="24"/>
  <c r="AI294" i="24"/>
  <c r="X294" i="24"/>
  <c r="AA294" i="24" s="1"/>
  <c r="AB294" i="24" s="1"/>
  <c r="AC294" i="24" s="1"/>
  <c r="W230" i="24"/>
  <c r="Y230" i="24" s="1"/>
  <c r="W216" i="24"/>
  <c r="Y216" i="24" s="1"/>
  <c r="W285" i="24"/>
  <c r="Y285" i="24" s="1"/>
  <c r="W221" i="24"/>
  <c r="Y221" i="24" s="1"/>
  <c r="AE227" i="24"/>
  <c r="AI227" i="24"/>
  <c r="X227" i="24"/>
  <c r="AA227" i="24" s="1"/>
  <c r="AB227" i="24" s="1"/>
  <c r="AC227" i="24" s="1"/>
  <c r="W272" i="24"/>
  <c r="Y272" i="24" s="1"/>
  <c r="AP60" i="24"/>
  <c r="AP41" i="24"/>
  <c r="AP40" i="24"/>
  <c r="AP63" i="24"/>
  <c r="AP72" i="24"/>
  <c r="AP64" i="24"/>
  <c r="AP83" i="24"/>
  <c r="AP27" i="24"/>
  <c r="AP101" i="24"/>
  <c r="AP42" i="24"/>
  <c r="AP56" i="24"/>
  <c r="AP46" i="24"/>
  <c r="AP18" i="24"/>
  <c r="AP10" i="24"/>
  <c r="AP79" i="24"/>
  <c r="AP55" i="24"/>
  <c r="AP54" i="24"/>
  <c r="AP91" i="24"/>
  <c r="AP87" i="24"/>
  <c r="AP59" i="24"/>
  <c r="AP36" i="24"/>
  <c r="AP105" i="24"/>
  <c r="AP28" i="24"/>
  <c r="V14" i="24"/>
  <c r="V48" i="24"/>
  <c r="V18" i="24"/>
  <c r="V73" i="24"/>
  <c r="V76" i="24"/>
  <c r="V60" i="24"/>
  <c r="V47" i="24"/>
  <c r="V40" i="24"/>
  <c r="V10" i="24"/>
  <c r="V83" i="24"/>
  <c r="V6" i="24"/>
  <c r="V54" i="24"/>
  <c r="V43" i="24"/>
  <c r="V91" i="24"/>
  <c r="V20" i="24"/>
  <c r="V35" i="24"/>
  <c r="V19" i="24"/>
  <c r="V26" i="24"/>
  <c r="V95" i="24"/>
  <c r="V104" i="24"/>
  <c r="V46" i="24"/>
  <c r="V92" i="24"/>
  <c r="V90" i="24"/>
  <c r="V50" i="24"/>
  <c r="V7" i="24"/>
  <c r="V103" i="24"/>
  <c r="V64" i="24"/>
  <c r="V78" i="24"/>
  <c r="V9" i="24"/>
  <c r="V38" i="24"/>
  <c r="V27" i="24"/>
  <c r="V75" i="24"/>
  <c r="V100" i="24"/>
  <c r="V41" i="24"/>
  <c r="V15" i="24"/>
  <c r="V74" i="24"/>
  <c r="V31" i="24"/>
  <c r="V79" i="24"/>
  <c r="V8" i="24"/>
  <c r="V88" i="24"/>
  <c r="V45" i="24"/>
  <c r="V30" i="24"/>
  <c r="V13" i="24"/>
  <c r="V24" i="24"/>
  <c r="K93" i="23"/>
  <c r="M93" i="23" s="1"/>
  <c r="V23" i="24"/>
  <c r="V85" i="24"/>
  <c r="V82" i="24"/>
  <c r="V62" i="24"/>
  <c r="V86" i="24"/>
  <c r="V93" i="24"/>
  <c r="V34" i="24"/>
  <c r="V53" i="24"/>
  <c r="V39" i="24"/>
  <c r="V87" i="24"/>
  <c r="V16" i="24"/>
  <c r="V96" i="24"/>
  <c r="V57" i="24"/>
  <c r="V52" i="24"/>
  <c r="V84" i="24"/>
  <c r="V33" i="24"/>
  <c r="V12" i="24"/>
  <c r="V58" i="24"/>
  <c r="W5" i="24"/>
  <c r="V5" i="24"/>
  <c r="V63" i="24"/>
  <c r="V72" i="24"/>
  <c r="V81" i="24"/>
  <c r="L57" i="23"/>
  <c r="M57" i="23" s="1"/>
  <c r="V66" i="24"/>
  <c r="V105" i="24"/>
  <c r="V28" i="24"/>
  <c r="V94" i="24"/>
  <c r="V71" i="24"/>
  <c r="V29" i="24"/>
  <c r="V21" i="24"/>
  <c r="V61" i="24"/>
  <c r="V77" i="24"/>
  <c r="V37" i="24"/>
  <c r="V68" i="24"/>
  <c r="V99" i="24"/>
  <c r="V25" i="24"/>
  <c r="V42" i="24"/>
  <c r="V67" i="24"/>
  <c r="V49" i="24"/>
  <c r="L72" i="23"/>
  <c r="M72" i="23" s="1"/>
  <c r="K65" i="23"/>
  <c r="M65" i="23" s="1"/>
  <c r="L95" i="23"/>
  <c r="M95" i="23" s="1"/>
  <c r="M11" i="23"/>
  <c r="M99" i="23"/>
  <c r="M27" i="23"/>
  <c r="M19" i="23"/>
  <c r="M56" i="23"/>
  <c r="M8" i="23"/>
  <c r="M87" i="23"/>
  <c r="M55" i="23"/>
  <c r="M75" i="23"/>
  <c r="M12" i="23"/>
  <c r="M47" i="23"/>
  <c r="M43" i="23"/>
  <c r="M6" i="23"/>
  <c r="L97" i="23"/>
  <c r="M97" i="23" s="1"/>
  <c r="K83" i="23"/>
  <c r="M83" i="23" s="1"/>
  <c r="M98" i="23"/>
  <c r="M62" i="23"/>
  <c r="M46" i="23"/>
  <c r="M76" i="23"/>
  <c r="M78" i="23"/>
  <c r="M54" i="23"/>
  <c r="M81" i="23"/>
  <c r="M85" i="23"/>
  <c r="M50" i="23"/>
  <c r="M53" i="23"/>
  <c r="M101" i="23"/>
  <c r="M45" i="23"/>
  <c r="M34" i="23"/>
  <c r="M36" i="23"/>
  <c r="M28" i="23"/>
  <c r="M9" i="23"/>
  <c r="M33" i="23"/>
  <c r="M30" i="23"/>
  <c r="M90" i="23"/>
  <c r="M10" i="23"/>
  <c r="M94" i="23"/>
  <c r="M68" i="23"/>
  <c r="M70" i="23"/>
  <c r="M106" i="23"/>
  <c r="M41" i="23"/>
  <c r="M37" i="23"/>
  <c r="M44" i="23"/>
  <c r="M32" i="23"/>
  <c r="M23" i="23"/>
  <c r="M48" i="23"/>
  <c r="M64" i="23"/>
  <c r="M15" i="23"/>
  <c r="M40" i="23"/>
  <c r="M80" i="23"/>
  <c r="M31" i="23"/>
  <c r="M91" i="23"/>
  <c r="M7" i="23"/>
  <c r="M96" i="23"/>
  <c r="M51" i="23"/>
  <c r="M71" i="23"/>
  <c r="M39" i="23"/>
  <c r="M79" i="23"/>
  <c r="M104" i="23"/>
  <c r="M59" i="23"/>
  <c r="M16" i="23"/>
  <c r="M35" i="23"/>
  <c r="M18" i="23"/>
  <c r="M105" i="23"/>
  <c r="M86" i="23"/>
  <c r="M52" i="23"/>
  <c r="M89" i="23"/>
  <c r="M38" i="23"/>
  <c r="M25" i="23"/>
  <c r="M61" i="23"/>
  <c r="M82" i="23"/>
  <c r="M14" i="23"/>
  <c r="M29" i="23"/>
  <c r="M69" i="23"/>
  <c r="M17" i="23"/>
  <c r="M21" i="23"/>
  <c r="M22" i="23"/>
  <c r="M92" i="23"/>
  <c r="M73" i="23"/>
  <c r="M13" i="23"/>
  <c r="M102" i="23"/>
  <c r="M26" i="23"/>
  <c r="B196" i="2"/>
  <c r="A237" i="2"/>
  <c r="D42" i="16"/>
  <c r="B197" i="2"/>
  <c r="D43" i="16"/>
  <c r="CC5" i="25" l="1"/>
  <c r="CC6" i="25"/>
  <c r="CC7" i="25"/>
  <c r="CC35" i="25"/>
  <c r="CC80" i="25"/>
  <c r="CC93" i="25"/>
  <c r="CC52" i="25"/>
  <c r="CC49" i="25"/>
  <c r="CC94" i="25"/>
  <c r="CC58" i="25"/>
  <c r="CC29" i="25"/>
  <c r="CC31" i="25"/>
  <c r="CC104" i="25"/>
  <c r="CC42" i="25"/>
  <c r="CC62" i="25"/>
  <c r="CC19" i="25"/>
  <c r="CC105" i="25"/>
  <c r="CC46" i="25"/>
  <c r="CC66" i="25"/>
  <c r="CC43" i="25"/>
  <c r="CC14" i="25"/>
  <c r="CC45" i="25"/>
  <c r="CC56" i="25"/>
  <c r="CC86" i="25"/>
  <c r="CC57" i="25"/>
  <c r="CC91" i="25"/>
  <c r="CC21" i="25"/>
  <c r="CC39" i="25"/>
  <c r="CC101" i="25"/>
  <c r="CC36" i="25"/>
  <c r="CC84" i="25"/>
  <c r="CC73" i="25"/>
  <c r="CC18" i="25"/>
  <c r="CC53" i="25"/>
  <c r="CC60" i="25"/>
  <c r="CC90" i="25"/>
  <c r="CC61" i="25"/>
  <c r="CC51" i="25"/>
  <c r="CC92" i="25"/>
  <c r="CC69" i="25"/>
  <c r="CC55" i="25"/>
  <c r="CC63" i="25"/>
  <c r="CC12" i="25"/>
  <c r="CC28" i="25"/>
  <c r="CC32" i="25"/>
  <c r="CC20" i="25"/>
  <c r="CC10" i="25"/>
  <c r="CC79" i="25"/>
  <c r="CC48" i="25"/>
  <c r="CC33" i="25"/>
  <c r="CC16" i="25"/>
  <c r="CC9" i="25"/>
  <c r="CC59" i="25"/>
  <c r="CC38" i="25"/>
  <c r="CC24" i="25"/>
  <c r="CC54" i="25"/>
  <c r="CC11" i="25"/>
  <c r="CC15" i="25"/>
  <c r="CC83" i="25"/>
  <c r="CC100" i="25"/>
  <c r="CC22" i="25"/>
  <c r="CC64" i="25"/>
  <c r="CC65" i="25"/>
  <c r="CC97" i="25"/>
  <c r="CC26" i="25"/>
  <c r="CC68" i="25"/>
  <c r="CC50" i="25"/>
  <c r="CC40" i="25"/>
  <c r="CC25" i="25"/>
  <c r="CC27" i="25"/>
  <c r="CC78" i="25"/>
  <c r="CC81" i="25"/>
  <c r="CC75" i="25"/>
  <c r="CC30" i="25"/>
  <c r="CC72" i="25"/>
  <c r="CC77" i="25"/>
  <c r="CC95" i="25"/>
  <c r="CC8" i="25"/>
  <c r="CC71" i="25"/>
  <c r="CC41" i="25"/>
  <c r="CC82" i="25"/>
  <c r="CC23" i="25"/>
  <c r="CC34" i="25"/>
  <c r="CC76" i="25"/>
  <c r="CC85" i="25"/>
  <c r="CC96" i="25"/>
  <c r="CC13" i="25"/>
  <c r="CC87" i="25"/>
  <c r="CC17" i="25"/>
  <c r="CC37" i="25"/>
  <c r="CC88" i="25"/>
  <c r="CC99" i="25"/>
  <c r="CB153" i="24"/>
  <c r="CC110" i="24"/>
  <c r="CC216" i="24"/>
  <c r="CC242" i="24"/>
  <c r="CC281" i="24"/>
  <c r="CC254" i="24"/>
  <c r="CC137" i="24"/>
  <c r="CC122" i="24"/>
  <c r="CC172" i="24"/>
  <c r="CC226" i="24"/>
  <c r="CC277" i="24"/>
  <c r="CC238" i="24"/>
  <c r="CC133" i="24"/>
  <c r="CC217" i="24"/>
  <c r="CC291" i="24"/>
  <c r="CC121" i="24"/>
  <c r="CC131" i="24"/>
  <c r="CC305" i="24"/>
  <c r="CC241" i="24"/>
  <c r="CC278" i="24"/>
  <c r="CC316" i="24"/>
  <c r="CC252" i="24"/>
  <c r="CC151" i="24"/>
  <c r="CC271" i="24"/>
  <c r="CC294" i="24"/>
  <c r="CC158" i="24"/>
  <c r="CC265" i="24"/>
  <c r="CC198" i="24"/>
  <c r="CC276" i="24"/>
  <c r="CC298" i="24"/>
  <c r="CC115" i="24"/>
  <c r="CC140" i="24"/>
  <c r="CC293" i="24"/>
  <c r="CC288" i="24"/>
  <c r="CC159" i="24"/>
  <c r="CC184" i="24"/>
  <c r="CC136" i="24"/>
  <c r="CC310" i="24"/>
  <c r="CC285" i="24"/>
  <c r="CC221" i="24"/>
  <c r="CC296" i="24"/>
  <c r="CC232" i="24"/>
  <c r="CC143" i="24"/>
  <c r="CC315" i="24"/>
  <c r="CC251" i="24"/>
  <c r="CC174" i="24"/>
  <c r="CC197" i="24"/>
  <c r="CC260" i="24"/>
  <c r="CC258" i="24"/>
  <c r="CC189" i="24"/>
  <c r="CC188" i="24"/>
  <c r="CC279" i="24"/>
  <c r="CC273" i="24"/>
  <c r="CC274" i="24"/>
  <c r="CC303" i="24"/>
  <c r="CC239" i="24"/>
  <c r="CC202" i="24"/>
  <c r="CC142" i="24"/>
  <c r="CC306" i="24"/>
  <c r="CC153" i="24"/>
  <c r="CC128" i="24"/>
  <c r="CC161" i="24"/>
  <c r="CC156" i="24"/>
  <c r="CC263" i="24"/>
  <c r="CC117" i="24"/>
  <c r="CC229" i="24"/>
  <c r="CC224" i="24"/>
  <c r="CC275" i="24"/>
  <c r="CC141" i="24"/>
  <c r="CC264" i="24"/>
  <c r="CC175" i="24"/>
  <c r="CC113" i="24"/>
  <c r="CC249" i="24"/>
  <c r="CC292" i="24"/>
  <c r="CC135" i="24"/>
  <c r="CC311" i="24"/>
  <c r="CC195" i="24"/>
  <c r="CC245" i="24"/>
  <c r="CC304" i="24"/>
  <c r="CC246" i="24"/>
  <c r="CC181" i="24"/>
  <c r="CC200" i="24"/>
  <c r="CC259" i="24"/>
  <c r="CC262" i="24"/>
  <c r="CC182" i="24"/>
  <c r="CC289" i="24"/>
  <c r="CC225" i="24"/>
  <c r="CC230" i="24"/>
  <c r="CC173" i="24"/>
  <c r="CC300" i="24"/>
  <c r="CC236" i="24"/>
  <c r="CC314" i="24"/>
  <c r="CC210" i="24"/>
  <c r="CC201" i="24"/>
  <c r="CC130" i="24"/>
  <c r="CC196" i="24"/>
  <c r="CC164" i="24"/>
  <c r="CC132" i="24"/>
  <c r="CC255" i="24"/>
  <c r="CC187" i="24"/>
  <c r="CC233" i="24"/>
  <c r="CC244" i="24"/>
  <c r="CC295" i="24"/>
  <c r="CC282" i="24"/>
  <c r="CC170" i="24"/>
  <c r="CC261" i="24"/>
  <c r="CC256" i="24"/>
  <c r="CC286" i="24"/>
  <c r="CC205" i="24"/>
  <c r="CC307" i="24"/>
  <c r="CC129" i="24"/>
  <c r="CC250" i="24"/>
  <c r="CC178" i="24"/>
  <c r="CC146" i="24"/>
  <c r="CC269" i="24"/>
  <c r="CC116" i="24"/>
  <c r="CC165" i="24"/>
  <c r="CC280" i="24"/>
  <c r="CC302" i="24"/>
  <c r="CC206" i="24"/>
  <c r="CC193" i="24"/>
  <c r="CC126" i="24"/>
  <c r="CC192" i="24"/>
  <c r="CC299" i="24"/>
  <c r="CC235" i="24"/>
  <c r="CC185" i="24"/>
  <c r="CC272" i="24"/>
  <c r="CC227" i="24"/>
  <c r="CC191" i="24"/>
  <c r="CC284" i="24"/>
  <c r="CC220" i="24"/>
  <c r="CC152" i="24"/>
  <c r="CC218" i="24"/>
  <c r="CC253" i="24"/>
  <c r="CC163" i="24"/>
  <c r="CC183" i="24"/>
  <c r="CC112" i="24"/>
  <c r="CC111" i="24"/>
  <c r="CC127" i="24"/>
  <c r="CC148" i="24"/>
  <c r="CC186" i="24"/>
  <c r="CC290" i="24"/>
  <c r="CC243" i="24"/>
  <c r="CC301" i="24"/>
  <c r="CC312" i="24"/>
  <c r="CC270" i="24"/>
  <c r="CC119" i="24"/>
  <c r="CC144" i="24"/>
  <c r="CC309" i="24"/>
  <c r="CC155" i="24"/>
  <c r="CC234" i="24"/>
  <c r="CC180" i="24"/>
  <c r="CC308" i="24"/>
  <c r="CC118" i="24"/>
  <c r="CC237" i="24"/>
  <c r="CC248" i="24"/>
  <c r="CC222" i="24"/>
  <c r="CC176" i="24"/>
  <c r="CC283" i="24"/>
  <c r="CC313" i="24"/>
  <c r="CC247" i="24"/>
  <c r="CC240" i="24"/>
  <c r="CC134" i="24"/>
  <c r="CC145" i="24"/>
  <c r="CC114" i="24"/>
  <c r="CC287" i="24"/>
  <c r="CC125" i="24"/>
  <c r="CC297" i="24"/>
  <c r="CC231" i="24"/>
  <c r="CC124" i="24"/>
  <c r="CC203" i="24"/>
  <c r="CC162" i="24"/>
  <c r="CC208" i="24"/>
  <c r="CC267" i="24"/>
  <c r="CC228" i="24"/>
  <c r="CC147" i="24"/>
  <c r="CC167" i="24"/>
  <c r="CC157" i="24"/>
  <c r="CC166" i="24"/>
  <c r="CC257" i="24"/>
  <c r="CC123" i="24"/>
  <c r="CC268" i="24"/>
  <c r="CC177" i="24"/>
  <c r="CC223" i="24"/>
  <c r="CC171" i="24"/>
  <c r="CC138" i="24"/>
  <c r="CC149" i="24"/>
  <c r="CC120" i="24"/>
  <c r="CC266" i="24"/>
  <c r="CC169" i="24"/>
  <c r="CC219" i="24"/>
  <c r="AT173" i="24"/>
  <c r="AT135" i="24"/>
  <c r="AT138" i="24"/>
  <c r="AT118" i="24"/>
  <c r="AT202" i="24"/>
  <c r="AT164" i="24"/>
  <c r="AT129" i="24"/>
  <c r="AT140" i="24"/>
  <c r="AT178" i="24"/>
  <c r="AT175" i="24"/>
  <c r="AT180" i="24"/>
  <c r="AT126" i="24"/>
  <c r="AT124" i="24"/>
  <c r="AT200" i="24"/>
  <c r="AT160" i="24"/>
  <c r="AI253" i="24"/>
  <c r="AJ253" i="24" s="1"/>
  <c r="AT253" i="24" s="1"/>
  <c r="W253" i="24"/>
  <c r="Y253" i="24" s="1"/>
  <c r="AE253" i="24"/>
  <c r="AG253" i="24" s="1"/>
  <c r="X277" i="24"/>
  <c r="AA277" i="24" s="1"/>
  <c r="AB277" i="24" s="1"/>
  <c r="AC277" i="24" s="1"/>
  <c r="AE305" i="24"/>
  <c r="AG305" i="24" s="1"/>
  <c r="AE130" i="24"/>
  <c r="AF130" i="24" s="1"/>
  <c r="W305" i="24"/>
  <c r="Y305" i="24" s="1"/>
  <c r="AI305" i="24"/>
  <c r="AJ305" i="24" s="1"/>
  <c r="AT305" i="24" s="1"/>
  <c r="X190" i="24"/>
  <c r="AA190" i="24" s="1"/>
  <c r="AB190" i="24" s="1"/>
  <c r="AC190" i="24" s="1"/>
  <c r="AJ190" i="24" s="1"/>
  <c r="AE190" i="24"/>
  <c r="AF190" i="24" s="1"/>
  <c r="W190" i="24"/>
  <c r="Y190" i="24" s="1"/>
  <c r="AI277" i="24"/>
  <c r="W277" i="24"/>
  <c r="Y277" i="24" s="1"/>
  <c r="X280" i="24"/>
  <c r="AA280" i="24" s="1"/>
  <c r="AB280" i="24" s="1"/>
  <c r="AC280" i="24" s="1"/>
  <c r="X260" i="24"/>
  <c r="AA260" i="24" s="1"/>
  <c r="AB260" i="24" s="1"/>
  <c r="AC260" i="24" s="1"/>
  <c r="AE226" i="24"/>
  <c r="AF226" i="24" s="1"/>
  <c r="X248" i="24"/>
  <c r="AA248" i="24" s="1"/>
  <c r="AB248" i="24" s="1"/>
  <c r="AC248" i="24" s="1"/>
  <c r="AE193" i="24"/>
  <c r="X244" i="24"/>
  <c r="AA244" i="24" s="1"/>
  <c r="AB244" i="24" s="1"/>
  <c r="AC244" i="24" s="1"/>
  <c r="X299" i="24"/>
  <c r="AA299" i="24" s="1"/>
  <c r="AB299" i="24" s="1"/>
  <c r="AC299" i="24" s="1"/>
  <c r="AJ299" i="24" s="1"/>
  <c r="AT299" i="24" s="1"/>
  <c r="AI248" i="24"/>
  <c r="W248" i="24"/>
  <c r="Y248" i="24" s="1"/>
  <c r="AE244" i="24"/>
  <c r="AF244" i="24" s="1"/>
  <c r="AI244" i="24"/>
  <c r="X193" i="24"/>
  <c r="AA193" i="24" s="1"/>
  <c r="AB193" i="24" s="1"/>
  <c r="AC193" i="24" s="1"/>
  <c r="AJ193" i="24" s="1"/>
  <c r="AI281" i="24"/>
  <c r="AJ281" i="24" s="1"/>
  <c r="AT281" i="24" s="1"/>
  <c r="AI262" i="24"/>
  <c r="AI217" i="24"/>
  <c r="AJ217" i="24" s="1"/>
  <c r="AT217" i="24" s="1"/>
  <c r="X283" i="24"/>
  <c r="AA283" i="24" s="1"/>
  <c r="AB283" i="24" s="1"/>
  <c r="AC283" i="24" s="1"/>
  <c r="W280" i="24"/>
  <c r="Y280" i="24" s="1"/>
  <c r="AE171" i="24"/>
  <c r="AF171" i="24" s="1"/>
  <c r="AE281" i="24"/>
  <c r="AG281" i="24" s="1"/>
  <c r="W283" i="24"/>
  <c r="Y283" i="24" s="1"/>
  <c r="AE217" i="24"/>
  <c r="AF217" i="24" s="1"/>
  <c r="X132" i="24"/>
  <c r="AA132" i="24" s="1"/>
  <c r="AB132" i="24" s="1"/>
  <c r="AC132" i="24" s="1"/>
  <c r="AJ132" i="24" s="1"/>
  <c r="AI278" i="24"/>
  <c r="AJ278" i="24" s="1"/>
  <c r="AT278" i="24" s="1"/>
  <c r="AI257" i="24"/>
  <c r="AE290" i="24"/>
  <c r="AF290" i="24" s="1"/>
  <c r="X289" i="24"/>
  <c r="AA289" i="24" s="1"/>
  <c r="AB289" i="24" s="1"/>
  <c r="AC289" i="24" s="1"/>
  <c r="W282" i="24"/>
  <c r="Y282" i="24" s="1"/>
  <c r="AE132" i="24"/>
  <c r="W156" i="24"/>
  <c r="Y156" i="24" s="1"/>
  <c r="W226" i="24"/>
  <c r="Y226" i="24" s="1"/>
  <c r="W217" i="24"/>
  <c r="Y217" i="24" s="1"/>
  <c r="W262" i="24"/>
  <c r="Y262" i="24" s="1"/>
  <c r="X226" i="24"/>
  <c r="AA226" i="24" s="1"/>
  <c r="AB226" i="24" s="1"/>
  <c r="AC226" i="24" s="1"/>
  <c r="AJ226" i="24" s="1"/>
  <c r="AT226" i="24" s="1"/>
  <c r="X171" i="24"/>
  <c r="AA171" i="24" s="1"/>
  <c r="AB171" i="24" s="1"/>
  <c r="AC171" i="24" s="1"/>
  <c r="AJ171" i="24" s="1"/>
  <c r="AI280" i="24"/>
  <c r="X262" i="24"/>
  <c r="AA262" i="24" s="1"/>
  <c r="AB262" i="24" s="1"/>
  <c r="AC262" i="24" s="1"/>
  <c r="AI283" i="24"/>
  <c r="W132" i="24"/>
  <c r="Y132" i="24" s="1"/>
  <c r="W281" i="24"/>
  <c r="Y281" i="24" s="1"/>
  <c r="X242" i="24"/>
  <c r="AA242" i="24" s="1"/>
  <c r="AB242" i="24" s="1"/>
  <c r="AC242" i="24" s="1"/>
  <c r="AJ242" i="24" s="1"/>
  <c r="AT242" i="24" s="1"/>
  <c r="W171" i="24"/>
  <c r="Y171" i="24" s="1"/>
  <c r="AE311" i="24"/>
  <c r="AF311" i="24" s="1"/>
  <c r="AI237" i="24"/>
  <c r="AJ237" i="24" s="1"/>
  <c r="AT237" i="24" s="1"/>
  <c r="X191" i="24"/>
  <c r="AA191" i="24" s="1"/>
  <c r="AB191" i="24" s="1"/>
  <c r="AC191" i="24" s="1"/>
  <c r="AJ191" i="24" s="1"/>
  <c r="X269" i="24"/>
  <c r="AA269" i="24" s="1"/>
  <c r="AB269" i="24" s="1"/>
  <c r="AC269" i="24" s="1"/>
  <c r="AJ269" i="24" s="1"/>
  <c r="AT269" i="24" s="1"/>
  <c r="W311" i="24"/>
  <c r="Y311" i="24" s="1"/>
  <c r="W252" i="24"/>
  <c r="Y252" i="24" s="1"/>
  <c r="W158" i="24"/>
  <c r="Y158" i="24" s="1"/>
  <c r="AI289" i="24"/>
  <c r="X290" i="24"/>
  <c r="AA290" i="24" s="1"/>
  <c r="AB290" i="24" s="1"/>
  <c r="AC290" i="24" s="1"/>
  <c r="AJ290" i="24" s="1"/>
  <c r="AT290" i="24" s="1"/>
  <c r="AE260" i="24"/>
  <c r="AI282" i="24"/>
  <c r="X158" i="24"/>
  <c r="AA158" i="24" s="1"/>
  <c r="AB158" i="24" s="1"/>
  <c r="AC158" i="24" s="1"/>
  <c r="AJ158" i="24" s="1"/>
  <c r="X147" i="24"/>
  <c r="AA147" i="24" s="1"/>
  <c r="AB147" i="24" s="1"/>
  <c r="AC147" i="24" s="1"/>
  <c r="AJ147" i="24" s="1"/>
  <c r="X185" i="24"/>
  <c r="AA185" i="24" s="1"/>
  <c r="AB185" i="24" s="1"/>
  <c r="AC185" i="24" s="1"/>
  <c r="AJ185" i="24" s="1"/>
  <c r="X130" i="24"/>
  <c r="AA130" i="24" s="1"/>
  <c r="AB130" i="24" s="1"/>
  <c r="AC130" i="24" s="1"/>
  <c r="AJ130" i="24" s="1"/>
  <c r="W278" i="24"/>
  <c r="Y278" i="24" s="1"/>
  <c r="AE289" i="24"/>
  <c r="W237" i="24"/>
  <c r="Y237" i="24" s="1"/>
  <c r="AI311" i="24"/>
  <c r="AJ311" i="24" s="1"/>
  <c r="AT311" i="24" s="1"/>
  <c r="X282" i="24"/>
  <c r="AA282" i="24" s="1"/>
  <c r="AB282" i="24" s="1"/>
  <c r="AC282" i="24" s="1"/>
  <c r="AE204" i="24"/>
  <c r="AF204" i="24" s="1"/>
  <c r="W290" i="24"/>
  <c r="Y290" i="24" s="1"/>
  <c r="AI260" i="24"/>
  <c r="AI308" i="24"/>
  <c r="AJ308" i="24" s="1"/>
  <c r="AT308" i="24" s="1"/>
  <c r="X257" i="24"/>
  <c r="AA257" i="24" s="1"/>
  <c r="AB257" i="24" s="1"/>
  <c r="AC257" i="24" s="1"/>
  <c r="W147" i="24"/>
  <c r="Y147" i="24" s="1"/>
  <c r="AE147" i="24"/>
  <c r="W130" i="24"/>
  <c r="Y130" i="24" s="1"/>
  <c r="W265" i="24"/>
  <c r="Y265" i="24" s="1"/>
  <c r="AE312" i="24"/>
  <c r="AF312" i="24" s="1"/>
  <c r="AE265" i="24"/>
  <c r="AF265" i="24" s="1"/>
  <c r="W166" i="24"/>
  <c r="Y166" i="24" s="1"/>
  <c r="X117" i="24"/>
  <c r="AA117" i="24" s="1"/>
  <c r="AB117" i="24" s="1"/>
  <c r="AC117" i="24" s="1"/>
  <c r="AJ117" i="24" s="1"/>
  <c r="AE191" i="24"/>
  <c r="AE158" i="24"/>
  <c r="AF158" i="24" s="1"/>
  <c r="AE151" i="24"/>
  <c r="AF151" i="24" s="1"/>
  <c r="W193" i="24"/>
  <c r="Y193" i="24" s="1"/>
  <c r="AE176" i="24"/>
  <c r="AF176" i="24" s="1"/>
  <c r="X198" i="24"/>
  <c r="AA198" i="24" s="1"/>
  <c r="AB198" i="24" s="1"/>
  <c r="AC198" i="24" s="1"/>
  <c r="AJ198" i="24" s="1"/>
  <c r="W191" i="24"/>
  <c r="Y191" i="24" s="1"/>
  <c r="X265" i="24"/>
  <c r="AA265" i="24" s="1"/>
  <c r="AB265" i="24" s="1"/>
  <c r="AC265" i="24" s="1"/>
  <c r="AJ265" i="24" s="1"/>
  <c r="AT265" i="24" s="1"/>
  <c r="W168" i="24"/>
  <c r="Y168" i="24" s="1"/>
  <c r="W146" i="24"/>
  <c r="Y146" i="24" s="1"/>
  <c r="AI312" i="24"/>
  <c r="X298" i="24"/>
  <c r="AA298" i="24" s="1"/>
  <c r="AB298" i="24" s="1"/>
  <c r="AC298" i="24" s="1"/>
  <c r="AI195" i="24"/>
  <c r="AE133" i="24"/>
  <c r="AF133" i="24" s="1"/>
  <c r="X261" i="24"/>
  <c r="AA261" i="24" s="1"/>
  <c r="AB261" i="24" s="1"/>
  <c r="AC261" i="24" s="1"/>
  <c r="W133" i="24"/>
  <c r="Y133" i="24" s="1"/>
  <c r="AE114" i="24"/>
  <c r="AI153" i="24"/>
  <c r="W232" i="24"/>
  <c r="Y232" i="24" s="1"/>
  <c r="AI270" i="24"/>
  <c r="X312" i="24"/>
  <c r="AA312" i="24" s="1"/>
  <c r="AB312" i="24" s="1"/>
  <c r="AC312" i="24" s="1"/>
  <c r="W139" i="24"/>
  <c r="Y139" i="24" s="1"/>
  <c r="AE291" i="24"/>
  <c r="AF291" i="24" s="1"/>
  <c r="AE299" i="24"/>
  <c r="AF299" i="24" s="1"/>
  <c r="AE278" i="24"/>
  <c r="AG278" i="24" s="1"/>
  <c r="W299" i="24"/>
  <c r="Y299" i="24" s="1"/>
  <c r="X291" i="24"/>
  <c r="AA291" i="24" s="1"/>
  <c r="AB291" i="24" s="1"/>
  <c r="AC291" i="24" s="1"/>
  <c r="AJ291" i="24" s="1"/>
  <c r="AT291" i="24" s="1"/>
  <c r="X252" i="24"/>
  <c r="AA252" i="24" s="1"/>
  <c r="AB252" i="24" s="1"/>
  <c r="AC252" i="24" s="1"/>
  <c r="AJ252" i="24" s="1"/>
  <c r="AT252" i="24" s="1"/>
  <c r="AE237" i="24"/>
  <c r="AG237" i="24" s="1"/>
  <c r="AE257" i="24"/>
  <c r="AF257" i="24" s="1"/>
  <c r="W204" i="24"/>
  <c r="Y204" i="24" s="1"/>
  <c r="W176" i="24"/>
  <c r="Y176" i="24" s="1"/>
  <c r="W185" i="24"/>
  <c r="Y185" i="24" s="1"/>
  <c r="X176" i="24"/>
  <c r="AA176" i="24" s="1"/>
  <c r="AB176" i="24" s="1"/>
  <c r="AC176" i="24" s="1"/>
  <c r="AJ176" i="24" s="1"/>
  <c r="AE198" i="24"/>
  <c r="AF198" i="24" s="1"/>
  <c r="W291" i="24"/>
  <c r="Y291" i="24" s="1"/>
  <c r="W267" i="24"/>
  <c r="Y267" i="24" s="1"/>
  <c r="X267" i="24"/>
  <c r="AA267" i="24" s="1"/>
  <c r="AB267" i="24" s="1"/>
  <c r="AC267" i="24" s="1"/>
  <c r="AJ267" i="24" s="1"/>
  <c r="AT267" i="24" s="1"/>
  <c r="AI238" i="24"/>
  <c r="AJ238" i="24" s="1"/>
  <c r="AT238" i="24" s="1"/>
  <c r="AI246" i="24"/>
  <c r="AJ246" i="24" s="1"/>
  <c r="AT246" i="24" s="1"/>
  <c r="X166" i="24"/>
  <c r="AA166" i="24" s="1"/>
  <c r="AB166" i="24" s="1"/>
  <c r="AC166" i="24" s="1"/>
  <c r="AJ166" i="24" s="1"/>
  <c r="W151" i="24"/>
  <c r="Y151" i="24" s="1"/>
  <c r="X120" i="24"/>
  <c r="AA120" i="24" s="1"/>
  <c r="AB120" i="24" s="1"/>
  <c r="AC120" i="24" s="1"/>
  <c r="AJ120" i="24" s="1"/>
  <c r="AE185" i="24"/>
  <c r="AF185" i="24" s="1"/>
  <c r="W198" i="24"/>
  <c r="Y198" i="24" s="1"/>
  <c r="AE232" i="24"/>
  <c r="AF232" i="24" s="1"/>
  <c r="X143" i="24"/>
  <c r="AA143" i="24" s="1"/>
  <c r="AB143" i="24" s="1"/>
  <c r="AC143" i="24" s="1"/>
  <c r="AJ143" i="24" s="1"/>
  <c r="AE209" i="24"/>
  <c r="AF209" i="24" s="1"/>
  <c r="W153" i="24"/>
  <c r="Y153" i="24" s="1"/>
  <c r="AE139" i="24"/>
  <c r="AF139" i="24" s="1"/>
  <c r="AI298" i="24"/>
  <c r="W261" i="24"/>
  <c r="Y261" i="24" s="1"/>
  <c r="X231" i="24"/>
  <c r="AA231" i="24" s="1"/>
  <c r="AB231" i="24" s="1"/>
  <c r="AC231" i="24" s="1"/>
  <c r="AJ231" i="24" s="1"/>
  <c r="AT231" i="24" s="1"/>
  <c r="AI261" i="24"/>
  <c r="W270" i="24"/>
  <c r="Y270" i="24" s="1"/>
  <c r="X195" i="24"/>
  <c r="AA195" i="24" s="1"/>
  <c r="AB195" i="24" s="1"/>
  <c r="AC195" i="24" s="1"/>
  <c r="X146" i="24"/>
  <c r="AA146" i="24" s="1"/>
  <c r="AB146" i="24" s="1"/>
  <c r="AC146" i="24" s="1"/>
  <c r="AJ146" i="24" s="1"/>
  <c r="W114" i="24"/>
  <c r="Y114" i="24" s="1"/>
  <c r="AE231" i="24"/>
  <c r="AF231" i="24" s="1"/>
  <c r="W231" i="24"/>
  <c r="Y231" i="24" s="1"/>
  <c r="X270" i="24"/>
  <c r="AA270" i="24" s="1"/>
  <c r="AB270" i="24" s="1"/>
  <c r="AC270" i="24" s="1"/>
  <c r="X168" i="24"/>
  <c r="AA168" i="24" s="1"/>
  <c r="AB168" i="24" s="1"/>
  <c r="AC168" i="24" s="1"/>
  <c r="AJ168" i="24" s="1"/>
  <c r="AE146" i="24"/>
  <c r="AF146" i="24" s="1"/>
  <c r="W195" i="24"/>
  <c r="Y195" i="24" s="1"/>
  <c r="W209" i="24"/>
  <c r="Y209" i="24" s="1"/>
  <c r="X139" i="24"/>
  <c r="AA139" i="24" s="1"/>
  <c r="AB139" i="24" s="1"/>
  <c r="AC139" i="24" s="1"/>
  <c r="AJ139" i="24" s="1"/>
  <c r="X232" i="24"/>
  <c r="AA232" i="24" s="1"/>
  <c r="AB232" i="24" s="1"/>
  <c r="AC232" i="24" s="1"/>
  <c r="AJ232" i="24" s="1"/>
  <c r="AT232" i="24" s="1"/>
  <c r="W143" i="24"/>
  <c r="Y143" i="24" s="1"/>
  <c r="AE143" i="24"/>
  <c r="AF143" i="24" s="1"/>
  <c r="X133" i="24"/>
  <c r="AA133" i="24" s="1"/>
  <c r="AB133" i="24" s="1"/>
  <c r="AC133" i="24" s="1"/>
  <c r="AJ133" i="24" s="1"/>
  <c r="X114" i="24"/>
  <c r="AA114" i="24" s="1"/>
  <c r="AB114" i="24" s="1"/>
  <c r="AC114" i="24" s="1"/>
  <c r="AJ114" i="24" s="1"/>
  <c r="X153" i="24"/>
  <c r="AA153" i="24" s="1"/>
  <c r="AB153" i="24" s="1"/>
  <c r="AC153" i="24" s="1"/>
  <c r="AE249" i="24"/>
  <c r="AG249" i="24" s="1"/>
  <c r="AI306" i="24"/>
  <c r="AE238" i="24"/>
  <c r="AG238" i="24" s="1"/>
  <c r="AE225" i="24"/>
  <c r="AE117" i="24"/>
  <c r="AF117" i="24" s="1"/>
  <c r="AI313" i="24"/>
  <c r="AJ313" i="24" s="1"/>
  <c r="AT313" i="24" s="1"/>
  <c r="W308" i="24"/>
  <c r="Y308" i="24" s="1"/>
  <c r="W269" i="24"/>
  <c r="Y269" i="24" s="1"/>
  <c r="X276" i="24"/>
  <c r="AA276" i="24" s="1"/>
  <c r="AB276" i="24" s="1"/>
  <c r="AC276" i="24" s="1"/>
  <c r="AE263" i="24"/>
  <c r="X204" i="24"/>
  <c r="AA204" i="24" s="1"/>
  <c r="AB204" i="24" s="1"/>
  <c r="AC204" i="24" s="1"/>
  <c r="AJ204" i="24" s="1"/>
  <c r="AE166" i="24"/>
  <c r="X151" i="24"/>
  <c r="AA151" i="24" s="1"/>
  <c r="AB151" i="24" s="1"/>
  <c r="AC151" i="24" s="1"/>
  <c r="AJ151" i="24" s="1"/>
  <c r="W117" i="24"/>
  <c r="Y117" i="24" s="1"/>
  <c r="AE313" i="24"/>
  <c r="AG313" i="24" s="1"/>
  <c r="W276" i="24"/>
  <c r="Y276" i="24" s="1"/>
  <c r="W263" i="24"/>
  <c r="Y263" i="24" s="1"/>
  <c r="AE246" i="24"/>
  <c r="AG246" i="24" s="1"/>
  <c r="X296" i="24"/>
  <c r="AA296" i="24" s="1"/>
  <c r="AB296" i="24" s="1"/>
  <c r="AC296" i="24" s="1"/>
  <c r="AJ296" i="24" s="1"/>
  <c r="AT296" i="24" s="1"/>
  <c r="W249" i="24"/>
  <c r="Y249" i="24" s="1"/>
  <c r="X144" i="24"/>
  <c r="AA144" i="24" s="1"/>
  <c r="AB144" i="24" s="1"/>
  <c r="AC144" i="24" s="1"/>
  <c r="AJ144" i="24" s="1"/>
  <c r="W313" i="24"/>
  <c r="Y313" i="24" s="1"/>
  <c r="AI276" i="24"/>
  <c r="AE284" i="24"/>
  <c r="AF284" i="24" s="1"/>
  <c r="X263" i="24"/>
  <c r="AA263" i="24" s="1"/>
  <c r="AB263" i="24" s="1"/>
  <c r="AC263" i="24" s="1"/>
  <c r="AJ263" i="24" s="1"/>
  <c r="AT263" i="24" s="1"/>
  <c r="AE255" i="24"/>
  <c r="AF255" i="24" s="1"/>
  <c r="X225" i="24"/>
  <c r="AA225" i="24" s="1"/>
  <c r="AB225" i="24" s="1"/>
  <c r="AC225" i="24" s="1"/>
  <c r="W296" i="24"/>
  <c r="Y296" i="24" s="1"/>
  <c r="AE296" i="24"/>
  <c r="AF296" i="24" s="1"/>
  <c r="W284" i="24"/>
  <c r="Y284" i="24" s="1"/>
  <c r="AE156" i="24"/>
  <c r="AF156" i="24" s="1"/>
  <c r="AE144" i="24"/>
  <c r="AF144" i="24" s="1"/>
  <c r="X189" i="24"/>
  <c r="AA189" i="24" s="1"/>
  <c r="AB189" i="24" s="1"/>
  <c r="AC189" i="24" s="1"/>
  <c r="AJ189" i="24" s="1"/>
  <c r="AI249" i="24"/>
  <c r="AJ249" i="24" s="1"/>
  <c r="AT249" i="24" s="1"/>
  <c r="X284" i="24"/>
  <c r="AA284" i="24" s="1"/>
  <c r="AB284" i="24" s="1"/>
  <c r="AC284" i="24" s="1"/>
  <c r="AJ284" i="24" s="1"/>
  <c r="AT284" i="24" s="1"/>
  <c r="AI295" i="24"/>
  <c r="AJ295" i="24" s="1"/>
  <c r="AT295" i="24" s="1"/>
  <c r="W246" i="24"/>
  <c r="Y246" i="24" s="1"/>
  <c r="AI225" i="24"/>
  <c r="X156" i="24"/>
  <c r="AA156" i="24" s="1"/>
  <c r="AB156" i="24" s="1"/>
  <c r="AC156" i="24" s="1"/>
  <c r="AJ156" i="24" s="1"/>
  <c r="W144" i="24"/>
  <c r="Y144" i="24" s="1"/>
  <c r="AE194" i="24"/>
  <c r="AF194" i="24" s="1"/>
  <c r="AE295" i="24"/>
  <c r="AG295" i="24" s="1"/>
  <c r="AE242" i="24"/>
  <c r="W242" i="24"/>
  <c r="Y242" i="24" s="1"/>
  <c r="W145" i="24"/>
  <c r="Y145" i="24" s="1"/>
  <c r="AE189" i="24"/>
  <c r="W295" i="24"/>
  <c r="Y295" i="24" s="1"/>
  <c r="W255" i="24"/>
  <c r="Y255" i="24" s="1"/>
  <c r="W306" i="24"/>
  <c r="Y306" i="24" s="1"/>
  <c r="AE252" i="24"/>
  <c r="AF252" i="24" s="1"/>
  <c r="X306" i="24"/>
  <c r="AA306" i="24" s="1"/>
  <c r="AB306" i="24" s="1"/>
  <c r="AC306" i="24" s="1"/>
  <c r="AE308" i="24"/>
  <c r="AF308" i="24" s="1"/>
  <c r="AE267" i="24"/>
  <c r="AF267" i="24" s="1"/>
  <c r="X255" i="24"/>
  <c r="AA255" i="24" s="1"/>
  <c r="AB255" i="24" s="1"/>
  <c r="AC255" i="24" s="1"/>
  <c r="AJ255" i="24" s="1"/>
  <c r="AT255" i="24" s="1"/>
  <c r="AE269" i="24"/>
  <c r="AE113" i="24"/>
  <c r="AF113" i="24" s="1"/>
  <c r="AE120" i="24"/>
  <c r="AF120" i="24" s="1"/>
  <c r="AE174" i="24"/>
  <c r="W298" i="24"/>
  <c r="Y298" i="24" s="1"/>
  <c r="W238" i="24"/>
  <c r="Y238" i="24" s="1"/>
  <c r="W113" i="24"/>
  <c r="Y113" i="24" s="1"/>
  <c r="AE168" i="24"/>
  <c r="X113" i="24"/>
  <c r="AA113" i="24" s="1"/>
  <c r="AB113" i="24" s="1"/>
  <c r="AC113" i="24" s="1"/>
  <c r="AJ113" i="24" s="1"/>
  <c r="W120" i="24"/>
  <c r="Y120" i="24" s="1"/>
  <c r="W189" i="24"/>
  <c r="Y189" i="24" s="1"/>
  <c r="X209" i="24"/>
  <c r="AA209" i="24" s="1"/>
  <c r="AB209" i="24" s="1"/>
  <c r="AC209" i="24" s="1"/>
  <c r="AJ209" i="24" s="1"/>
  <c r="W174" i="24"/>
  <c r="Y174" i="24" s="1"/>
  <c r="X174" i="24"/>
  <c r="AA174" i="24" s="1"/>
  <c r="AB174" i="24" s="1"/>
  <c r="AC174" i="24" s="1"/>
  <c r="AJ174" i="24" s="1"/>
  <c r="AE186" i="24"/>
  <c r="AF186" i="24" s="1"/>
  <c r="X89" i="24"/>
  <c r="AA89" i="24" s="1"/>
  <c r="AB89" i="24" s="1"/>
  <c r="AC89" i="24" s="1"/>
  <c r="W186" i="24"/>
  <c r="Y186" i="24" s="1"/>
  <c r="AE201" i="24"/>
  <c r="AF201" i="24" s="1"/>
  <c r="X112" i="24"/>
  <c r="AA112" i="24" s="1"/>
  <c r="AB112" i="24" s="1"/>
  <c r="AC112" i="24" s="1"/>
  <c r="AE150" i="24"/>
  <c r="AF150" i="24" s="1"/>
  <c r="AE179" i="24"/>
  <c r="AF179" i="24" s="1"/>
  <c r="W119" i="24"/>
  <c r="Y119" i="24" s="1"/>
  <c r="AI172" i="24"/>
  <c r="W50" i="24"/>
  <c r="Y50" i="24" s="1"/>
  <c r="W101" i="24"/>
  <c r="Y101" i="24" s="1"/>
  <c r="AE100" i="24"/>
  <c r="AF100" i="24" s="1"/>
  <c r="AE60" i="24"/>
  <c r="AF60" i="24" s="1"/>
  <c r="X25" i="24"/>
  <c r="AA25" i="24" s="1"/>
  <c r="AB25" i="24" s="1"/>
  <c r="AC25" i="24" s="1"/>
  <c r="AJ25" i="24" s="1"/>
  <c r="AE101" i="24"/>
  <c r="AF101" i="24" s="1"/>
  <c r="W150" i="24"/>
  <c r="Y150" i="24" s="1"/>
  <c r="W179" i="24"/>
  <c r="Y179" i="24" s="1"/>
  <c r="X181" i="24"/>
  <c r="AA181" i="24" s="1"/>
  <c r="AB181" i="24" s="1"/>
  <c r="AC181" i="24" s="1"/>
  <c r="X208" i="24"/>
  <c r="AA208" i="24" s="1"/>
  <c r="AB208" i="24" s="1"/>
  <c r="AC208" i="24" s="1"/>
  <c r="W128" i="24"/>
  <c r="Y128" i="24" s="1"/>
  <c r="X196" i="24"/>
  <c r="AA196" i="24" s="1"/>
  <c r="AB196" i="24" s="1"/>
  <c r="AC196" i="24" s="1"/>
  <c r="AJ196" i="24" s="1"/>
  <c r="AE128" i="24"/>
  <c r="AG128" i="24" s="1"/>
  <c r="AI112" i="24"/>
  <c r="W60" i="24"/>
  <c r="Y60" i="24" s="1"/>
  <c r="X92" i="24"/>
  <c r="AA92" i="24" s="1"/>
  <c r="AB92" i="24" s="1"/>
  <c r="AC92" i="24" s="1"/>
  <c r="W181" i="24"/>
  <c r="Y181" i="24" s="1"/>
  <c r="AI181" i="24"/>
  <c r="CB166" i="24"/>
  <c r="CB113" i="24"/>
  <c r="W154" i="24"/>
  <c r="Y154" i="24" s="1"/>
  <c r="X162" i="24"/>
  <c r="AA162" i="24" s="1"/>
  <c r="AB162" i="24" s="1"/>
  <c r="AC162" i="24" s="1"/>
  <c r="AJ162" i="24" s="1"/>
  <c r="X206" i="24"/>
  <c r="AA206" i="24" s="1"/>
  <c r="AB206" i="24" s="1"/>
  <c r="AC206" i="24" s="1"/>
  <c r="AJ206" i="24" s="1"/>
  <c r="X46" i="24"/>
  <c r="AA46" i="24" s="1"/>
  <c r="AB46" i="24" s="1"/>
  <c r="AC46" i="24" s="1"/>
  <c r="AI54" i="24"/>
  <c r="X18" i="24"/>
  <c r="AA18" i="24" s="1"/>
  <c r="AB18" i="24" s="1"/>
  <c r="AC18" i="24" s="1"/>
  <c r="W188" i="24"/>
  <c r="Y188" i="24" s="1"/>
  <c r="AI207" i="24"/>
  <c r="X157" i="24"/>
  <c r="AA157" i="24" s="1"/>
  <c r="AB157" i="24" s="1"/>
  <c r="AC157" i="24" s="1"/>
  <c r="AE137" i="24"/>
  <c r="AG137" i="24" s="1"/>
  <c r="AI18" i="24"/>
  <c r="W27" i="24"/>
  <c r="Y27" i="24" s="1"/>
  <c r="W78" i="24"/>
  <c r="Y78" i="24" s="1"/>
  <c r="X54" i="24"/>
  <c r="AA54" i="24" s="1"/>
  <c r="AB54" i="24" s="1"/>
  <c r="AC54" i="24" s="1"/>
  <c r="X95" i="24"/>
  <c r="AA95" i="24" s="1"/>
  <c r="AB95" i="24" s="1"/>
  <c r="AC95" i="24" s="1"/>
  <c r="AJ95" i="24" s="1"/>
  <c r="X148" i="24"/>
  <c r="AA148" i="24" s="1"/>
  <c r="AB148" i="24" s="1"/>
  <c r="AC148" i="24" s="1"/>
  <c r="AE125" i="24"/>
  <c r="AF125" i="24" s="1"/>
  <c r="W87" i="24"/>
  <c r="Y87" i="24" s="1"/>
  <c r="W54" i="24"/>
  <c r="Y54" i="24" s="1"/>
  <c r="W10" i="24"/>
  <c r="Y10" i="24" s="1"/>
  <c r="X10" i="24"/>
  <c r="AA10" i="24" s="1"/>
  <c r="AB10" i="24" s="1"/>
  <c r="AC10" i="24" s="1"/>
  <c r="AJ10" i="24" s="1"/>
  <c r="X199" i="24"/>
  <c r="AA199" i="24" s="1"/>
  <c r="AB199" i="24" s="1"/>
  <c r="AC199" i="24" s="1"/>
  <c r="AJ199" i="24" s="1"/>
  <c r="AE134" i="24"/>
  <c r="AF134" i="24" s="1"/>
  <c r="AE142" i="24"/>
  <c r="AG142" i="24" s="1"/>
  <c r="AE210" i="24"/>
  <c r="AF210" i="24" s="1"/>
  <c r="AI170" i="24"/>
  <c r="AJ170" i="24" s="1"/>
  <c r="W19" i="24"/>
  <c r="Y19" i="24" s="1"/>
  <c r="X36" i="24"/>
  <c r="AA36" i="24" s="1"/>
  <c r="AB36" i="24" s="1"/>
  <c r="AC36" i="24" s="1"/>
  <c r="AJ36" i="24" s="1"/>
  <c r="AE78" i="24"/>
  <c r="AG78" i="24" s="1"/>
  <c r="W157" i="24"/>
  <c r="Y157" i="24" s="1"/>
  <c r="W203" i="24"/>
  <c r="Y203" i="24" s="1"/>
  <c r="X192" i="24"/>
  <c r="AA192" i="24" s="1"/>
  <c r="AB192" i="24" s="1"/>
  <c r="AC192" i="24" s="1"/>
  <c r="AJ192" i="24" s="1"/>
  <c r="AE159" i="24"/>
  <c r="AI78" i="24"/>
  <c r="AJ78" i="24" s="1"/>
  <c r="AI203" i="24"/>
  <c r="AI165" i="24"/>
  <c r="AJ165" i="24" s="1"/>
  <c r="W31" i="24"/>
  <c r="Y31" i="24" s="1"/>
  <c r="W46" i="24"/>
  <c r="Y46" i="24" s="1"/>
  <c r="X41" i="24"/>
  <c r="AA41" i="24" s="1"/>
  <c r="AB41" i="24" s="1"/>
  <c r="AC41" i="24" s="1"/>
  <c r="AE96" i="24"/>
  <c r="AF96" i="24" s="1"/>
  <c r="X161" i="24"/>
  <c r="AA161" i="24" s="1"/>
  <c r="AB161" i="24" s="1"/>
  <c r="AC161" i="24" s="1"/>
  <c r="AJ161" i="24" s="1"/>
  <c r="X188" i="24"/>
  <c r="AA188" i="24" s="1"/>
  <c r="AB188" i="24" s="1"/>
  <c r="AC188" i="24" s="1"/>
  <c r="AJ188" i="24" s="1"/>
  <c r="W205" i="24"/>
  <c r="Y205" i="24" s="1"/>
  <c r="W182" i="24"/>
  <c r="Y182" i="24" s="1"/>
  <c r="AE205" i="24"/>
  <c r="AF205" i="24" s="1"/>
  <c r="AE170" i="24"/>
  <c r="AG170" i="24" s="1"/>
  <c r="W194" i="24"/>
  <c r="Y194" i="24" s="1"/>
  <c r="W206" i="24"/>
  <c r="Y206" i="24" s="1"/>
  <c r="W199" i="24"/>
  <c r="Y199" i="24" s="1"/>
  <c r="X50" i="24"/>
  <c r="AA50" i="24" s="1"/>
  <c r="AB50" i="24" s="1"/>
  <c r="AC50" i="24" s="1"/>
  <c r="AJ50" i="24" s="1"/>
  <c r="AI46" i="24"/>
  <c r="AI157" i="24"/>
  <c r="AE56" i="24"/>
  <c r="AG56" i="24" s="1"/>
  <c r="W165" i="24"/>
  <c r="Y165" i="24" s="1"/>
  <c r="X203" i="24"/>
  <c r="AA203" i="24" s="1"/>
  <c r="AB203" i="24" s="1"/>
  <c r="AC203" i="24" s="1"/>
  <c r="X177" i="24"/>
  <c r="AA177" i="24" s="1"/>
  <c r="AB177" i="24" s="1"/>
  <c r="AC177" i="24" s="1"/>
  <c r="AJ177" i="24" s="1"/>
  <c r="W36" i="24"/>
  <c r="Y36" i="24" s="1"/>
  <c r="AI210" i="24"/>
  <c r="W18" i="24"/>
  <c r="Y18" i="24" s="1"/>
  <c r="AI53" i="24"/>
  <c r="AJ53" i="24" s="1"/>
  <c r="AE95" i="24"/>
  <c r="AF95" i="24" s="1"/>
  <c r="AI148" i="24"/>
  <c r="CB167" i="24"/>
  <c r="CB158" i="24"/>
  <c r="CB143" i="24"/>
  <c r="AI21" i="24"/>
  <c r="AE21" i="24"/>
  <c r="AF21" i="24" s="1"/>
  <c r="W42" i="24"/>
  <c r="Y42" i="24" s="1"/>
  <c r="W155" i="24"/>
  <c r="Y155" i="24" s="1"/>
  <c r="X187" i="24"/>
  <c r="AA187" i="24" s="1"/>
  <c r="AB187" i="24" s="1"/>
  <c r="AC187" i="24" s="1"/>
  <c r="X136" i="24"/>
  <c r="AA136" i="24" s="1"/>
  <c r="AB136" i="24" s="1"/>
  <c r="AC136" i="24" s="1"/>
  <c r="AE163" i="24"/>
  <c r="AF163" i="24" s="1"/>
  <c r="W149" i="24"/>
  <c r="Y149" i="24" s="1"/>
  <c r="X122" i="24"/>
  <c r="AA122" i="24" s="1"/>
  <c r="AB122" i="24" s="1"/>
  <c r="AC122" i="24" s="1"/>
  <c r="AE141" i="24"/>
  <c r="AF141" i="24" s="1"/>
  <c r="CB136" i="24"/>
  <c r="CB138" i="24"/>
  <c r="CB148" i="24"/>
  <c r="CB145" i="24"/>
  <c r="W136" i="24"/>
  <c r="Y136" i="24" s="1"/>
  <c r="X163" i="24"/>
  <c r="AA163" i="24" s="1"/>
  <c r="AB163" i="24" s="1"/>
  <c r="AC163" i="24" s="1"/>
  <c r="AJ163" i="24" s="1"/>
  <c r="AE145" i="24"/>
  <c r="AF145" i="24" s="1"/>
  <c r="CB175" i="24"/>
  <c r="CB133" i="24"/>
  <c r="AI83" i="24"/>
  <c r="AJ83" i="24" s="1"/>
  <c r="AI101" i="24"/>
  <c r="AJ101" i="24" s="1"/>
  <c r="AI97" i="24"/>
  <c r="AI92" i="24"/>
  <c r="AI179" i="24"/>
  <c r="AJ179" i="24" s="1"/>
  <c r="AI150" i="24"/>
  <c r="AJ150" i="24" s="1"/>
  <c r="AI208" i="24"/>
  <c r="W74" i="24"/>
  <c r="Y74" i="24" s="1"/>
  <c r="AE25" i="24"/>
  <c r="X60" i="24"/>
  <c r="AA60" i="24" s="1"/>
  <c r="AB60" i="24" s="1"/>
  <c r="AC60" i="24" s="1"/>
  <c r="AJ60" i="24" s="1"/>
  <c r="AE131" i="24"/>
  <c r="AF131" i="24" s="1"/>
  <c r="AE183" i="24"/>
  <c r="AG183" i="24" s="1"/>
  <c r="X186" i="24"/>
  <c r="AA186" i="24" s="1"/>
  <c r="AB186" i="24" s="1"/>
  <c r="AC186" i="24" s="1"/>
  <c r="AJ186" i="24" s="1"/>
  <c r="AE172" i="24"/>
  <c r="AF172" i="24" s="1"/>
  <c r="AE196" i="24"/>
  <c r="W131" i="24"/>
  <c r="Y131" i="24" s="1"/>
  <c r="AI201" i="24"/>
  <c r="W89" i="24"/>
  <c r="Y89" i="24" s="1"/>
  <c r="CB118" i="24"/>
  <c r="CB122" i="24"/>
  <c r="CB116" i="24"/>
  <c r="CB120" i="24"/>
  <c r="AI89" i="24"/>
  <c r="AI183" i="24"/>
  <c r="AJ183" i="24" s="1"/>
  <c r="W25" i="24"/>
  <c r="Y25" i="24" s="1"/>
  <c r="W82" i="24"/>
  <c r="Y82" i="24" s="1"/>
  <c r="W92" i="24"/>
  <c r="Y92" i="24" s="1"/>
  <c r="X100" i="24"/>
  <c r="AA100" i="24" s="1"/>
  <c r="AB100" i="24" s="1"/>
  <c r="AC100" i="24" s="1"/>
  <c r="AJ100" i="24" s="1"/>
  <c r="AI128" i="24"/>
  <c r="AJ128" i="24" s="1"/>
  <c r="W208" i="24"/>
  <c r="Y208" i="24" s="1"/>
  <c r="W196" i="24"/>
  <c r="Y196" i="24" s="1"/>
  <c r="AE119" i="24"/>
  <c r="AF119" i="24" s="1"/>
  <c r="AE50" i="24"/>
  <c r="AF50" i="24" s="1"/>
  <c r="CB135" i="24"/>
  <c r="CB162" i="24"/>
  <c r="CB114" i="24"/>
  <c r="CB161" i="24"/>
  <c r="CB115" i="24"/>
  <c r="CB184" i="24"/>
  <c r="CB137" i="24"/>
  <c r="AI74" i="24"/>
  <c r="AJ74" i="24" s="1"/>
  <c r="AI136" i="24"/>
  <c r="W53" i="24"/>
  <c r="Y53" i="24" s="1"/>
  <c r="W86" i="24"/>
  <c r="Y86" i="24" s="1"/>
  <c r="W95" i="24"/>
  <c r="Y95" i="24" s="1"/>
  <c r="W56" i="24"/>
  <c r="Y56" i="24" s="1"/>
  <c r="AE69" i="24"/>
  <c r="AF69" i="24" s="1"/>
  <c r="X31" i="24"/>
  <c r="AA31" i="24" s="1"/>
  <c r="AB31" i="24" s="1"/>
  <c r="AC31" i="24" s="1"/>
  <c r="X96" i="24"/>
  <c r="AA96" i="24" s="1"/>
  <c r="AB96" i="24" s="1"/>
  <c r="AC96" i="24" s="1"/>
  <c r="W183" i="24"/>
  <c r="Y183" i="24" s="1"/>
  <c r="AE188" i="24"/>
  <c r="AF188" i="24" s="1"/>
  <c r="AE112" i="24"/>
  <c r="AE199" i="24"/>
  <c r="AF199" i="24" s="1"/>
  <c r="X131" i="24"/>
  <c r="AA131" i="24" s="1"/>
  <c r="AB131" i="24" s="1"/>
  <c r="AC131" i="24" s="1"/>
  <c r="AJ131" i="24" s="1"/>
  <c r="X134" i="24"/>
  <c r="AA134" i="24" s="1"/>
  <c r="AB134" i="24" s="1"/>
  <c r="AC134" i="24" s="1"/>
  <c r="AJ134" i="24" s="1"/>
  <c r="AE123" i="24"/>
  <c r="AF123" i="24" s="1"/>
  <c r="W192" i="24"/>
  <c r="Y192" i="24" s="1"/>
  <c r="W125" i="24"/>
  <c r="Y125" i="24" s="1"/>
  <c r="W142" i="24"/>
  <c r="Y142" i="24" s="1"/>
  <c r="AE184" i="24"/>
  <c r="AF184" i="24" s="1"/>
  <c r="X152" i="24"/>
  <c r="AA152" i="24" s="1"/>
  <c r="AB152" i="24" s="1"/>
  <c r="AC152" i="24" s="1"/>
  <c r="AJ152" i="24" s="1"/>
  <c r="AE148" i="24"/>
  <c r="AF148" i="24" s="1"/>
  <c r="AE162" i="24"/>
  <c r="X116" i="24"/>
  <c r="AA116" i="24" s="1"/>
  <c r="AB116" i="24" s="1"/>
  <c r="AC116" i="24" s="1"/>
  <c r="AE192" i="24"/>
  <c r="AF192" i="24" s="1"/>
  <c r="X125" i="24"/>
  <c r="AA125" i="24" s="1"/>
  <c r="AB125" i="24" s="1"/>
  <c r="AC125" i="24" s="1"/>
  <c r="AJ125" i="24" s="1"/>
  <c r="W207" i="24"/>
  <c r="Y207" i="24" s="1"/>
  <c r="W170" i="24"/>
  <c r="Y170" i="24" s="1"/>
  <c r="X167" i="24"/>
  <c r="AA167" i="24" s="1"/>
  <c r="AB167" i="24" s="1"/>
  <c r="AC167" i="24" s="1"/>
  <c r="AJ167" i="24" s="1"/>
  <c r="X172" i="24"/>
  <c r="AA172" i="24" s="1"/>
  <c r="AB172" i="24" s="1"/>
  <c r="AC172" i="24" s="1"/>
  <c r="AE165" i="24"/>
  <c r="AG165" i="24" s="1"/>
  <c r="AE177" i="24"/>
  <c r="AF177" i="24" s="1"/>
  <c r="AE206" i="24"/>
  <c r="AF206" i="24" s="1"/>
  <c r="X194" i="24"/>
  <c r="AA194" i="24" s="1"/>
  <c r="AB194" i="24" s="1"/>
  <c r="AC194" i="24" s="1"/>
  <c r="AJ194" i="24" s="1"/>
  <c r="X210" i="24"/>
  <c r="AA210" i="24" s="1"/>
  <c r="AB210" i="24" s="1"/>
  <c r="AC210" i="24" s="1"/>
  <c r="X201" i="24"/>
  <c r="AA201" i="24" s="1"/>
  <c r="AB201" i="24" s="1"/>
  <c r="AC201" i="24" s="1"/>
  <c r="AI31" i="24"/>
  <c r="AI96" i="24"/>
  <c r="AI87" i="24"/>
  <c r="AI142" i="24"/>
  <c r="AJ142" i="24" s="1"/>
  <c r="AI169" i="24"/>
  <c r="AI205" i="24"/>
  <c r="AJ205" i="24" s="1"/>
  <c r="AE27" i="24"/>
  <c r="AF27" i="24" s="1"/>
  <c r="AE36" i="24"/>
  <c r="AF36" i="24" s="1"/>
  <c r="AE10" i="24"/>
  <c r="AF10" i="24" s="1"/>
  <c r="AE161" i="24"/>
  <c r="AF161" i="24" s="1"/>
  <c r="W134" i="24"/>
  <c r="Y134" i="24" s="1"/>
  <c r="W162" i="24"/>
  <c r="Y162" i="24" s="1"/>
  <c r="W159" i="24"/>
  <c r="Y159" i="24" s="1"/>
  <c r="X169" i="24"/>
  <c r="AA169" i="24" s="1"/>
  <c r="AB169" i="24" s="1"/>
  <c r="AC169" i="24" s="1"/>
  <c r="W137" i="24"/>
  <c r="Y137" i="24" s="1"/>
  <c r="X159" i="24"/>
  <c r="AA159" i="24" s="1"/>
  <c r="AB159" i="24" s="1"/>
  <c r="AC159" i="24" s="1"/>
  <c r="AJ159" i="24" s="1"/>
  <c r="X119" i="24"/>
  <c r="AA119" i="24" s="1"/>
  <c r="AB119" i="24" s="1"/>
  <c r="AC119" i="24" s="1"/>
  <c r="AJ119" i="24" s="1"/>
  <c r="AI56" i="24"/>
  <c r="AJ56" i="24" s="1"/>
  <c r="AE83" i="24"/>
  <c r="AG83" i="24" s="1"/>
  <c r="X40" i="24"/>
  <c r="AA40" i="24" s="1"/>
  <c r="AB40" i="24" s="1"/>
  <c r="AC40" i="24" s="1"/>
  <c r="AI116" i="24"/>
  <c r="W105" i="24"/>
  <c r="Y105" i="24" s="1"/>
  <c r="W79" i="24"/>
  <c r="Y79" i="24" s="1"/>
  <c r="AE105" i="24"/>
  <c r="AF105" i="24" s="1"/>
  <c r="X33" i="24"/>
  <c r="AA33" i="24" s="1"/>
  <c r="AB33" i="24" s="1"/>
  <c r="AC33" i="24" s="1"/>
  <c r="AE55" i="24"/>
  <c r="X87" i="24"/>
  <c r="AA87" i="24" s="1"/>
  <c r="AB87" i="24" s="1"/>
  <c r="AC87" i="24" s="1"/>
  <c r="AJ87" i="24" s="1"/>
  <c r="W161" i="24"/>
  <c r="Y161" i="24" s="1"/>
  <c r="W152" i="24"/>
  <c r="Y152" i="24" s="1"/>
  <c r="W163" i="24"/>
  <c r="Y163" i="24" s="1"/>
  <c r="AE182" i="24"/>
  <c r="AG182" i="24" s="1"/>
  <c r="X155" i="24"/>
  <c r="AA155" i="24" s="1"/>
  <c r="AB155" i="24" s="1"/>
  <c r="AC155" i="24" s="1"/>
  <c r="X123" i="24"/>
  <c r="AA123" i="24" s="1"/>
  <c r="AB123" i="24" s="1"/>
  <c r="AC123" i="24" s="1"/>
  <c r="W116" i="24"/>
  <c r="Y116" i="24" s="1"/>
  <c r="W169" i="24"/>
  <c r="Y169" i="24" s="1"/>
  <c r="W167" i="24"/>
  <c r="Y167" i="24" s="1"/>
  <c r="AE152" i="24"/>
  <c r="X115" i="24"/>
  <c r="AA115" i="24" s="1"/>
  <c r="AB115" i="24" s="1"/>
  <c r="AC115" i="24" s="1"/>
  <c r="X207" i="24"/>
  <c r="AA207" i="24" s="1"/>
  <c r="AB207" i="24" s="1"/>
  <c r="AC207" i="24" s="1"/>
  <c r="W187" i="24"/>
  <c r="Y187" i="24" s="1"/>
  <c r="W115" i="24"/>
  <c r="Y115" i="24" s="1"/>
  <c r="AE154" i="24"/>
  <c r="AG154" i="24" s="1"/>
  <c r="X149" i="24"/>
  <c r="AA149" i="24" s="1"/>
  <c r="AB149" i="24" s="1"/>
  <c r="AC149" i="24" s="1"/>
  <c r="AJ149" i="24" s="1"/>
  <c r="AE122" i="24"/>
  <c r="W177" i="24"/>
  <c r="Y177" i="24" s="1"/>
  <c r="AI145" i="24"/>
  <c r="AJ145" i="24" s="1"/>
  <c r="AI68" i="24"/>
  <c r="AE104" i="24"/>
  <c r="AF104" i="24" s="1"/>
  <c r="AI154" i="24"/>
  <c r="AJ154" i="24" s="1"/>
  <c r="AI123" i="24"/>
  <c r="AI182" i="24"/>
  <c r="AJ182" i="24" s="1"/>
  <c r="AI122" i="24"/>
  <c r="AI184" i="24"/>
  <c r="AJ184" i="24" s="1"/>
  <c r="AI141" i="24"/>
  <c r="AJ141" i="24" s="1"/>
  <c r="AE42" i="24"/>
  <c r="AF42" i="24" s="1"/>
  <c r="W184" i="24"/>
  <c r="Y184" i="24" s="1"/>
  <c r="AI155" i="24"/>
  <c r="W72" i="24"/>
  <c r="Y72" i="24" s="1"/>
  <c r="X27" i="24"/>
  <c r="AA27" i="24" s="1"/>
  <c r="AB27" i="24" s="1"/>
  <c r="AC27" i="24" s="1"/>
  <c r="AJ27" i="24" s="1"/>
  <c r="X105" i="24"/>
  <c r="AA105" i="24" s="1"/>
  <c r="AB105" i="24" s="1"/>
  <c r="AC105" i="24" s="1"/>
  <c r="AJ105" i="24" s="1"/>
  <c r="X19" i="24"/>
  <c r="AA19" i="24" s="1"/>
  <c r="AB19" i="24" s="1"/>
  <c r="AC19" i="24" s="1"/>
  <c r="AE91" i="24"/>
  <c r="AF91" i="24" s="1"/>
  <c r="AI187" i="24"/>
  <c r="AI137" i="24"/>
  <c r="AJ137" i="24" s="1"/>
  <c r="AI115" i="24"/>
  <c r="W141" i="24"/>
  <c r="Y141" i="24" s="1"/>
  <c r="AE167" i="24"/>
  <c r="AE149" i="24"/>
  <c r="AF149" i="24" s="1"/>
  <c r="X21" i="24"/>
  <c r="AA21" i="24" s="1"/>
  <c r="AB21" i="24" s="1"/>
  <c r="AC21" i="24" s="1"/>
  <c r="X42" i="24"/>
  <c r="AA42" i="24" s="1"/>
  <c r="AB42" i="24" s="1"/>
  <c r="AC42" i="24" s="1"/>
  <c r="AJ42" i="24" s="1"/>
  <c r="AI79" i="24"/>
  <c r="W63" i="24"/>
  <c r="Y63" i="24" s="1"/>
  <c r="X79" i="24"/>
  <c r="AA79" i="24" s="1"/>
  <c r="AB79" i="24" s="1"/>
  <c r="AC79" i="24" s="1"/>
  <c r="X72" i="24"/>
  <c r="AA72" i="24" s="1"/>
  <c r="AB72" i="24" s="1"/>
  <c r="AC72" i="24" s="1"/>
  <c r="AI55" i="24"/>
  <c r="AI72" i="24"/>
  <c r="W83" i="24"/>
  <c r="Y83" i="24" s="1"/>
  <c r="W40" i="24"/>
  <c r="Y40" i="24" s="1"/>
  <c r="X55" i="24"/>
  <c r="AA55" i="24" s="1"/>
  <c r="AB55" i="24" s="1"/>
  <c r="AC55" i="24" s="1"/>
  <c r="W68" i="24"/>
  <c r="Y68" i="24" s="1"/>
  <c r="W23" i="24"/>
  <c r="Y23" i="24" s="1"/>
  <c r="W41" i="24"/>
  <c r="Y41" i="24" s="1"/>
  <c r="W69" i="24"/>
  <c r="Y69" i="24" s="1"/>
  <c r="X68" i="24"/>
  <c r="AA68" i="24" s="1"/>
  <c r="AB68" i="24" s="1"/>
  <c r="AC68" i="24" s="1"/>
  <c r="X51" i="24"/>
  <c r="AA51" i="24" s="1"/>
  <c r="AB51" i="24" s="1"/>
  <c r="AC51" i="24" s="1"/>
  <c r="X97" i="24"/>
  <c r="AA97" i="24" s="1"/>
  <c r="AB97" i="24" s="1"/>
  <c r="AC97" i="24" s="1"/>
  <c r="X28" i="24"/>
  <c r="AA28" i="24" s="1"/>
  <c r="AB28" i="24" s="1"/>
  <c r="AC28" i="24" s="1"/>
  <c r="AE86" i="24"/>
  <c r="AF86" i="24" s="1"/>
  <c r="AE85" i="24"/>
  <c r="AF85" i="24" s="1"/>
  <c r="X70" i="24"/>
  <c r="AA70" i="24" s="1"/>
  <c r="AB70" i="24" s="1"/>
  <c r="AC70" i="24" s="1"/>
  <c r="AJ70" i="24" s="1"/>
  <c r="AE32" i="24"/>
  <c r="AF32" i="24" s="1"/>
  <c r="X104" i="24"/>
  <c r="AA104" i="24" s="1"/>
  <c r="AB104" i="24" s="1"/>
  <c r="AC104" i="24" s="1"/>
  <c r="AJ104" i="24" s="1"/>
  <c r="W70" i="24"/>
  <c r="Y70" i="24" s="1"/>
  <c r="AI86" i="24"/>
  <c r="AJ86" i="24" s="1"/>
  <c r="AI33" i="24"/>
  <c r="AI41" i="24"/>
  <c r="AI28" i="24"/>
  <c r="AI19" i="24"/>
  <c r="AI51" i="24"/>
  <c r="AE33" i="24"/>
  <c r="AE14" i="24"/>
  <c r="AF14" i="24" s="1"/>
  <c r="X69" i="24"/>
  <c r="AA69" i="24" s="1"/>
  <c r="AB69" i="24" s="1"/>
  <c r="AC69" i="24" s="1"/>
  <c r="AJ69" i="24" s="1"/>
  <c r="AE23" i="24"/>
  <c r="X29" i="24"/>
  <c r="AA29" i="24" s="1"/>
  <c r="AB29" i="24" s="1"/>
  <c r="AC29" i="24" s="1"/>
  <c r="W51" i="24"/>
  <c r="Y51" i="24" s="1"/>
  <c r="AE53" i="24"/>
  <c r="AF53" i="24" s="1"/>
  <c r="AI29" i="24"/>
  <c r="AI85" i="24"/>
  <c r="AJ85" i="24" s="1"/>
  <c r="W29" i="24"/>
  <c r="Y29" i="24" s="1"/>
  <c r="W85" i="24"/>
  <c r="Y85" i="24" s="1"/>
  <c r="W28" i="24"/>
  <c r="Y28" i="24" s="1"/>
  <c r="W104" i="24"/>
  <c r="Y104" i="24" s="1"/>
  <c r="AE97" i="24"/>
  <c r="AF97" i="24" s="1"/>
  <c r="AE70" i="24"/>
  <c r="AE73" i="24"/>
  <c r="AG73" i="24" s="1"/>
  <c r="AI63" i="24"/>
  <c r="AI14" i="24"/>
  <c r="AJ14" i="24" s="1"/>
  <c r="AI59" i="24"/>
  <c r="AI91" i="24"/>
  <c r="AJ91" i="24" s="1"/>
  <c r="P100" i="24"/>
  <c r="W14" i="24"/>
  <c r="Y14" i="24" s="1"/>
  <c r="AE74" i="24"/>
  <c r="AG74" i="24" s="1"/>
  <c r="AI40" i="24"/>
  <c r="AI73" i="24"/>
  <c r="AJ73" i="24" s="1"/>
  <c r="AI82" i="24"/>
  <c r="P101" i="24"/>
  <c r="P32" i="24"/>
  <c r="W100" i="24"/>
  <c r="Y100" i="24" s="1"/>
  <c r="W59" i="24"/>
  <c r="Y59" i="24" s="1"/>
  <c r="AP32" i="24"/>
  <c r="AP25" i="24"/>
  <c r="AP86" i="24"/>
  <c r="X59" i="24"/>
  <c r="AA59" i="24" s="1"/>
  <c r="AB59" i="24" s="1"/>
  <c r="AC59" i="24" s="1"/>
  <c r="X82" i="24"/>
  <c r="AA82" i="24" s="1"/>
  <c r="AB82" i="24" s="1"/>
  <c r="AC82" i="24" s="1"/>
  <c r="W32" i="24"/>
  <c r="Y32" i="24" s="1"/>
  <c r="X23" i="24"/>
  <c r="AA23" i="24" s="1"/>
  <c r="AB23" i="24" s="1"/>
  <c r="AC23" i="24" s="1"/>
  <c r="AJ23" i="24" s="1"/>
  <c r="X32" i="24"/>
  <c r="AA32" i="24" s="1"/>
  <c r="AB32" i="24" s="1"/>
  <c r="AC32" i="24" s="1"/>
  <c r="AJ32" i="24" s="1"/>
  <c r="X63" i="24"/>
  <c r="AA63" i="24" s="1"/>
  <c r="AB63" i="24" s="1"/>
  <c r="AC63" i="24" s="1"/>
  <c r="W64" i="24"/>
  <c r="Y64" i="24" s="1"/>
  <c r="W91" i="24"/>
  <c r="Y91" i="24" s="1"/>
  <c r="W73" i="24"/>
  <c r="Y73" i="24" s="1"/>
  <c r="AP104" i="24"/>
  <c r="AP100" i="24"/>
  <c r="X64" i="24"/>
  <c r="AA64" i="24" s="1"/>
  <c r="AB64" i="24" s="1"/>
  <c r="AC64" i="24" s="1"/>
  <c r="P85" i="24"/>
  <c r="P25" i="24"/>
  <c r="P104" i="24"/>
  <c r="AP33" i="24"/>
  <c r="AP78" i="24"/>
  <c r="AP69" i="24"/>
  <c r="AP23" i="24"/>
  <c r="P69" i="24"/>
  <c r="P70" i="24"/>
  <c r="P97" i="24"/>
  <c r="Q92" i="24"/>
  <c r="R92" i="24" s="1"/>
  <c r="P74" i="24"/>
  <c r="Q74" i="24"/>
  <c r="R74" i="24" s="1"/>
  <c r="Q72" i="24"/>
  <c r="R72" i="24" s="1"/>
  <c r="P29" i="24"/>
  <c r="Q29" i="24"/>
  <c r="R29" i="24" s="1"/>
  <c r="Q56" i="24"/>
  <c r="R56" i="24" s="1"/>
  <c r="P14" i="24"/>
  <c r="Q14" i="24"/>
  <c r="R14" i="24" s="1"/>
  <c r="Q50" i="24"/>
  <c r="R50" i="24" s="1"/>
  <c r="Q31" i="24"/>
  <c r="R31" i="24" s="1"/>
  <c r="AP96" i="24"/>
  <c r="Q96" i="24"/>
  <c r="R96" i="24" s="1"/>
  <c r="P73" i="24"/>
  <c r="AP19" i="24"/>
  <c r="AP70" i="24"/>
  <c r="AP21" i="24"/>
  <c r="AP73" i="24"/>
  <c r="AP68" i="24"/>
  <c r="P23" i="24"/>
  <c r="P21" i="24"/>
  <c r="Q91" i="24"/>
  <c r="R91" i="24" s="1"/>
  <c r="P83" i="24"/>
  <c r="Q83" i="24"/>
  <c r="R83" i="24" s="1"/>
  <c r="P36" i="24"/>
  <c r="Q36" i="24"/>
  <c r="Q89" i="24"/>
  <c r="R89" i="24" s="1"/>
  <c r="AP82" i="24"/>
  <c r="Q82" i="24"/>
  <c r="R82" i="24" s="1"/>
  <c r="P18" i="24"/>
  <c r="Q18" i="24"/>
  <c r="R18" i="24" s="1"/>
  <c r="Q60" i="24"/>
  <c r="R60" i="24" s="1"/>
  <c r="Q42" i="24"/>
  <c r="R42" i="24" s="1"/>
  <c r="Q40" i="24"/>
  <c r="R40" i="24" s="1"/>
  <c r="Q87" i="24"/>
  <c r="R87" i="24" s="1"/>
  <c r="P46" i="24"/>
  <c r="Q46" i="24"/>
  <c r="R46" i="24" s="1"/>
  <c r="P87" i="24"/>
  <c r="P60" i="24"/>
  <c r="P42" i="24"/>
  <c r="P40" i="24"/>
  <c r="R36" i="24"/>
  <c r="P91" i="24"/>
  <c r="J93" i="24"/>
  <c r="W93" i="24" s="1"/>
  <c r="Y93" i="24" s="1"/>
  <c r="Q93" i="24"/>
  <c r="R93" i="24" s="1"/>
  <c r="J80" i="24"/>
  <c r="J35" i="24"/>
  <c r="AI35" i="24" s="1"/>
  <c r="Q35" i="24"/>
  <c r="R35" i="24" s="1"/>
  <c r="J34" i="24"/>
  <c r="AI34" i="24" s="1"/>
  <c r="Q34" i="24"/>
  <c r="R34" i="24" s="1"/>
  <c r="J94" i="24"/>
  <c r="AE94" i="24" s="1"/>
  <c r="AF94" i="24" s="1"/>
  <c r="Q94" i="24"/>
  <c r="R94" i="24" s="1"/>
  <c r="J76" i="24"/>
  <c r="J81" i="24"/>
  <c r="AE81" i="24" s="1"/>
  <c r="AF81" i="24" s="1"/>
  <c r="Q81" i="24"/>
  <c r="R81" i="24" s="1"/>
  <c r="J66" i="24"/>
  <c r="Q66" i="24"/>
  <c r="R66" i="24" s="1"/>
  <c r="J16" i="24"/>
  <c r="W16" i="24" s="1"/>
  <c r="Y16" i="24" s="1"/>
  <c r="P16" i="24"/>
  <c r="J99" i="24"/>
  <c r="AI99" i="24" s="1"/>
  <c r="J17" i="24"/>
  <c r="AP17" i="24"/>
  <c r="J48" i="24"/>
  <c r="W48" i="24" s="1"/>
  <c r="Y48" i="24" s="1"/>
  <c r="Q48" i="24"/>
  <c r="R48" i="24" s="1"/>
  <c r="AP31" i="24"/>
  <c r="J49" i="24"/>
  <c r="AI49" i="24" s="1"/>
  <c r="Q49" i="24"/>
  <c r="R49" i="24" s="1"/>
  <c r="J20" i="24"/>
  <c r="Q20" i="24"/>
  <c r="R20" i="24" s="1"/>
  <c r="J77" i="24"/>
  <c r="AP77" i="24"/>
  <c r="J47" i="24"/>
  <c r="AI47" i="24" s="1"/>
  <c r="J67" i="24"/>
  <c r="P67" i="24"/>
  <c r="J24" i="24"/>
  <c r="Q24" i="24"/>
  <c r="R24" i="24" s="1"/>
  <c r="J8" i="24"/>
  <c r="X8" i="24" s="1"/>
  <c r="AA8" i="24" s="1"/>
  <c r="AB8" i="24" s="1"/>
  <c r="AC8" i="24" s="1"/>
  <c r="Q8" i="24"/>
  <c r="R8" i="24" s="1"/>
  <c r="J90" i="24"/>
  <c r="J88" i="24"/>
  <c r="X88" i="24" s="1"/>
  <c r="AA88" i="24" s="1"/>
  <c r="AB88" i="24" s="1"/>
  <c r="AC88" i="24" s="1"/>
  <c r="P88" i="24"/>
  <c r="P72" i="24"/>
  <c r="P96" i="24"/>
  <c r="AP14" i="24"/>
  <c r="AP92" i="24"/>
  <c r="AP74" i="24"/>
  <c r="AP29" i="24"/>
  <c r="P92" i="24"/>
  <c r="J45" i="24"/>
  <c r="J62" i="24"/>
  <c r="J22" i="24"/>
  <c r="W22" i="24" s="1"/>
  <c r="Y22" i="24" s="1"/>
  <c r="J26" i="24"/>
  <c r="W26" i="24" s="1"/>
  <c r="Y26" i="24" s="1"/>
  <c r="J52" i="24"/>
  <c r="J13" i="24"/>
  <c r="X13" i="24" s="1"/>
  <c r="AA13" i="24" s="1"/>
  <c r="AB13" i="24" s="1"/>
  <c r="AC13" i="24" s="1"/>
  <c r="J15" i="24"/>
  <c r="AI15" i="24" s="1"/>
  <c r="J84" i="24"/>
  <c r="Q84" i="24"/>
  <c r="J9" i="24"/>
  <c r="J37" i="24"/>
  <c r="AI37" i="24" s="1"/>
  <c r="AP37" i="24"/>
  <c r="J38" i="24"/>
  <c r="J39" i="24"/>
  <c r="AP39" i="24"/>
  <c r="J30" i="24"/>
  <c r="Q30" i="24"/>
  <c r="R30" i="24" s="1"/>
  <c r="P31" i="24"/>
  <c r="J12" i="24"/>
  <c r="W12" i="24" s="1"/>
  <c r="Y12" i="24" s="1"/>
  <c r="J65" i="24"/>
  <c r="AI65" i="24" s="1"/>
  <c r="J11" i="24"/>
  <c r="AI11" i="24" s="1"/>
  <c r="J102" i="24"/>
  <c r="AI102" i="24" s="1"/>
  <c r="J71" i="24"/>
  <c r="W71" i="24" s="1"/>
  <c r="Y71" i="24" s="1"/>
  <c r="J44" i="24"/>
  <c r="AE44" i="24" s="1"/>
  <c r="J43" i="24"/>
  <c r="X43" i="24" s="1"/>
  <c r="AA43" i="24" s="1"/>
  <c r="AB43" i="24" s="1"/>
  <c r="AC43" i="24" s="1"/>
  <c r="J103" i="24"/>
  <c r="J58" i="24"/>
  <c r="AI58" i="24" s="1"/>
  <c r="J75" i="24"/>
  <c r="J57" i="24"/>
  <c r="J61" i="24"/>
  <c r="X61" i="24" s="1"/>
  <c r="AA61" i="24" s="1"/>
  <c r="AB61" i="24" s="1"/>
  <c r="AC61" i="24" s="1"/>
  <c r="J98" i="24"/>
  <c r="J6" i="24"/>
  <c r="X6" i="24" s="1"/>
  <c r="AA6" i="24" s="1"/>
  <c r="AB6" i="24" s="1"/>
  <c r="AC6" i="24" s="1"/>
  <c r="J7" i="24"/>
  <c r="AP7" i="24"/>
  <c r="P55" i="24"/>
  <c r="R55" i="24"/>
  <c r="P33" i="24"/>
  <c r="R33" i="24"/>
  <c r="AP76" i="24"/>
  <c r="AP85" i="24"/>
  <c r="R97" i="24"/>
  <c r="AP89" i="24"/>
  <c r="R105" i="24"/>
  <c r="P105" i="24"/>
  <c r="R19" i="24"/>
  <c r="P19" i="24"/>
  <c r="P82" i="24"/>
  <c r="AP97" i="24"/>
  <c r="P86" i="24"/>
  <c r="R86" i="24"/>
  <c r="P54" i="24"/>
  <c r="R54" i="24"/>
  <c r="P20" i="24"/>
  <c r="AP95" i="24"/>
  <c r="P95" i="24"/>
  <c r="P80" i="24"/>
  <c r="P15" i="24"/>
  <c r="AP15" i="24"/>
  <c r="P24" i="24"/>
  <c r="AP24" i="24"/>
  <c r="P50" i="24"/>
  <c r="P47" i="24"/>
  <c r="P9" i="24"/>
  <c r="P90" i="24"/>
  <c r="P17" i="24"/>
  <c r="P38" i="24"/>
  <c r="P30" i="24"/>
  <c r="AP9" i="24"/>
  <c r="AP98" i="24"/>
  <c r="AP50" i="24"/>
  <c r="R51" i="24"/>
  <c r="P51" i="24"/>
  <c r="P59" i="24"/>
  <c r="R59" i="24"/>
  <c r="P89" i="24"/>
  <c r="P76" i="24"/>
  <c r="P66" i="24"/>
  <c r="AP51" i="24"/>
  <c r="AP58" i="24"/>
  <c r="AP66" i="24"/>
  <c r="AP47" i="24"/>
  <c r="AP38" i="24"/>
  <c r="P34" i="24"/>
  <c r="P99" i="24"/>
  <c r="P61" i="24"/>
  <c r="P37" i="24"/>
  <c r="P48" i="24"/>
  <c r="P56" i="24"/>
  <c r="AI64" i="24"/>
  <c r="AE110" i="24"/>
  <c r="AG110" i="24" s="1"/>
  <c r="AI110" i="24"/>
  <c r="AJ110" i="24" s="1"/>
  <c r="W110" i="24"/>
  <c r="Y110" i="24" s="1"/>
  <c r="CB259" i="25"/>
  <c r="CB299" i="24"/>
  <c r="CB276" i="24"/>
  <c r="CB218" i="25"/>
  <c r="CB241" i="24"/>
  <c r="CB263" i="25"/>
  <c r="CB225" i="25"/>
  <c r="CB285" i="25"/>
  <c r="CB303" i="25"/>
  <c r="CB296" i="25"/>
  <c r="CB236" i="25"/>
  <c r="CB231" i="24"/>
  <c r="CB228" i="25"/>
  <c r="CB243" i="25"/>
  <c r="CB266" i="25"/>
  <c r="CB232" i="25"/>
  <c r="CB221" i="25"/>
  <c r="CB229" i="25"/>
  <c r="CB251" i="25"/>
  <c r="CB252" i="25"/>
  <c r="CB315" i="25"/>
  <c r="CB231" i="25"/>
  <c r="CB268" i="25"/>
  <c r="CB220" i="25"/>
  <c r="CB248" i="25"/>
  <c r="CB245" i="25"/>
  <c r="CB262" i="25"/>
  <c r="CB239" i="25"/>
  <c r="CB254" i="25"/>
  <c r="CB226" i="25"/>
  <c r="CB257" i="25"/>
  <c r="CB313" i="25"/>
  <c r="CB250" i="25"/>
  <c r="AJ5" i="24"/>
  <c r="CB234" i="25"/>
  <c r="CB237" i="25"/>
  <c r="CB297" i="25"/>
  <c r="CB316" i="25"/>
  <c r="CB219" i="25"/>
  <c r="CB235" i="25"/>
  <c r="CB222" i="25"/>
  <c r="CB223" i="25"/>
  <c r="CB271" i="25"/>
  <c r="CB258" i="24"/>
  <c r="CB226" i="24"/>
  <c r="CB234" i="24"/>
  <c r="CB243" i="24"/>
  <c r="CB271" i="24"/>
  <c r="CB229" i="24"/>
  <c r="CB247" i="24"/>
  <c r="CB297" i="24"/>
  <c r="CB239" i="24"/>
  <c r="V110" i="25"/>
  <c r="X110" i="25" s="1"/>
  <c r="AG5" i="24"/>
  <c r="AN5" i="24" s="1"/>
  <c r="CB312" i="24"/>
  <c r="CB286" i="24"/>
  <c r="CB305" i="24"/>
  <c r="CB274" i="24"/>
  <c r="CB267" i="24"/>
  <c r="CB311" i="24"/>
  <c r="CB222" i="24"/>
  <c r="CB235" i="24"/>
  <c r="CB295" i="24"/>
  <c r="CB220" i="24"/>
  <c r="CB257" i="24"/>
  <c r="CB242" i="24"/>
  <c r="CB263" i="24"/>
  <c r="CB261" i="24"/>
  <c r="CB316" i="24"/>
  <c r="CB218" i="24"/>
  <c r="CB308" i="24"/>
  <c r="CB266" i="24"/>
  <c r="CB259" i="24"/>
  <c r="CB225" i="24"/>
  <c r="CB269" i="24"/>
  <c r="CB292" i="24"/>
  <c r="CB264" i="24"/>
  <c r="CB288" i="24"/>
  <c r="CB237" i="24"/>
  <c r="CB221" i="24"/>
  <c r="CB272" i="24"/>
  <c r="CB296" i="24"/>
  <c r="CB310" i="24"/>
  <c r="CB254" i="24"/>
  <c r="CB253" i="24"/>
  <c r="CB238" i="24"/>
  <c r="CB248" i="24"/>
  <c r="CB280" i="24"/>
  <c r="CB300" i="24"/>
  <c r="CB232" i="24"/>
  <c r="CB228" i="24"/>
  <c r="CB224" i="24"/>
  <c r="CB284" i="24"/>
  <c r="CB281" i="24"/>
  <c r="CB301" i="24"/>
  <c r="CB262" i="24"/>
  <c r="CB223" i="24"/>
  <c r="W110" i="25"/>
  <c r="Z110" i="25" s="1"/>
  <c r="AA110" i="25" s="1"/>
  <c r="AB110" i="25" s="1"/>
  <c r="AI110" i="25" s="1"/>
  <c r="V5" i="25"/>
  <c r="X5" i="25" s="1"/>
  <c r="CB52" i="25"/>
  <c r="CB24" i="25"/>
  <c r="CB10" i="25"/>
  <c r="CB19" i="25"/>
  <c r="CB15" i="25"/>
  <c r="CB30" i="25"/>
  <c r="CB13" i="25"/>
  <c r="CB16" i="25"/>
  <c r="CB8" i="25"/>
  <c r="W5" i="25"/>
  <c r="CB31" i="25"/>
  <c r="CB85" i="25"/>
  <c r="CB34" i="25"/>
  <c r="CB22" i="25"/>
  <c r="CB27" i="25"/>
  <c r="CB68" i="25"/>
  <c r="CB18" i="25"/>
  <c r="CB77" i="25"/>
  <c r="CB57" i="25"/>
  <c r="CB11" i="25"/>
  <c r="CB71" i="25"/>
  <c r="CB23" i="25"/>
  <c r="CB91" i="25"/>
  <c r="CB88" i="25"/>
  <c r="CB28" i="25"/>
  <c r="CB63" i="25"/>
  <c r="CB40" i="25"/>
  <c r="CB41" i="25"/>
  <c r="CB56" i="25"/>
  <c r="CB35" i="25"/>
  <c r="CB9" i="25"/>
  <c r="CB7" i="25"/>
  <c r="CB66" i="25"/>
  <c r="CB62" i="25"/>
  <c r="CB5" i="25"/>
  <c r="AF180" i="25"/>
  <c r="AF300" i="25"/>
  <c r="AF124" i="25"/>
  <c r="AF133" i="25"/>
  <c r="AF197" i="25"/>
  <c r="AF113" i="25"/>
  <c r="AF122" i="25"/>
  <c r="AF173" i="25"/>
  <c r="AF240" i="25"/>
  <c r="AF120" i="25"/>
  <c r="AF315" i="25"/>
  <c r="AF117" i="25"/>
  <c r="AF142" i="25"/>
  <c r="AF242" i="25"/>
  <c r="AF208" i="25"/>
  <c r="AF218" i="25"/>
  <c r="AF157" i="25"/>
  <c r="AF228" i="25"/>
  <c r="AF203" i="25"/>
  <c r="AF291" i="25"/>
  <c r="AF287" i="25"/>
  <c r="AF159" i="25"/>
  <c r="AF191" i="25"/>
  <c r="AF210" i="25"/>
  <c r="AF252" i="25"/>
  <c r="AF303" i="25"/>
  <c r="AF130" i="25"/>
  <c r="AF202" i="25"/>
  <c r="AF299" i="25"/>
  <c r="AF166" i="25"/>
  <c r="AF198" i="25"/>
  <c r="AF286" i="25"/>
  <c r="AF127" i="25"/>
  <c r="AF194" i="25"/>
  <c r="AF247" i="25"/>
  <c r="AF132" i="25"/>
  <c r="AF196" i="25"/>
  <c r="AF201" i="25"/>
  <c r="AF188" i="25"/>
  <c r="AF279" i="25"/>
  <c r="AF209" i="25"/>
  <c r="AF136" i="25"/>
  <c r="AF152" i="25"/>
  <c r="AF184" i="25"/>
  <c r="AF311" i="25"/>
  <c r="AF313" i="25"/>
  <c r="AF168" i="25"/>
  <c r="AF187" i="25"/>
  <c r="AF151" i="25"/>
  <c r="AF294" i="25"/>
  <c r="AF167" i="25"/>
  <c r="AF254" i="25"/>
  <c r="AF259" i="25"/>
  <c r="AF256" i="25"/>
  <c r="AF284" i="25"/>
  <c r="AF114" i="25"/>
  <c r="AF263" i="25"/>
  <c r="AF200" i="25"/>
  <c r="AF302" i="25"/>
  <c r="AF312" i="25"/>
  <c r="AF225" i="25"/>
  <c r="AF219" i="25"/>
  <c r="AF131" i="25"/>
  <c r="AF172" i="25"/>
  <c r="AF271" i="25"/>
  <c r="AF176" i="25"/>
  <c r="AF222" i="25"/>
  <c r="AF217" i="25"/>
  <c r="AF199" i="25"/>
  <c r="AF316" i="25"/>
  <c r="AF293" i="25"/>
  <c r="AF281" i="25"/>
  <c r="AF226" i="25"/>
  <c r="AF241" i="25"/>
  <c r="AF236" i="25"/>
  <c r="AF268" i="25"/>
  <c r="AF234" i="25"/>
  <c r="AF266" i="25"/>
  <c r="AF244" i="25"/>
  <c r="AF285" i="25"/>
  <c r="AF273" i="25"/>
  <c r="AF237" i="25"/>
  <c r="AF276" i="25"/>
  <c r="AF255" i="25"/>
  <c r="AF253" i="25"/>
  <c r="AF164" i="25"/>
  <c r="AF156" i="25"/>
  <c r="AF128" i="25"/>
  <c r="AF144" i="25"/>
  <c r="AF160" i="25"/>
  <c r="AF192" i="25"/>
  <c r="AF310" i="25"/>
  <c r="AF314" i="25"/>
  <c r="AF267" i="25"/>
  <c r="AF231" i="25"/>
  <c r="AF181" i="25"/>
  <c r="AF158" i="25"/>
  <c r="AF245" i="25"/>
  <c r="AF306" i="25"/>
  <c r="AF125" i="25"/>
  <c r="AF126" i="25"/>
  <c r="AF305" i="25"/>
  <c r="AF38" i="25"/>
  <c r="AF146" i="25"/>
  <c r="AF207" i="25"/>
  <c r="AF280" i="25"/>
  <c r="AF246" i="25"/>
  <c r="AF239" i="25"/>
  <c r="AF24" i="25"/>
  <c r="AF260" i="25"/>
  <c r="AF137" i="25"/>
  <c r="AF169" i="25"/>
  <c r="AF162" i="25"/>
  <c r="AF216" i="25"/>
  <c r="AF223" i="25"/>
  <c r="AF248" i="25"/>
  <c r="AF235" i="25"/>
  <c r="AF155" i="25"/>
  <c r="AF138" i="25"/>
  <c r="AF170" i="25"/>
  <c r="AF264" i="25"/>
  <c r="AF309" i="25"/>
  <c r="AF257" i="25"/>
  <c r="AF141" i="25"/>
  <c r="AF206" i="25"/>
  <c r="AF283" i="25"/>
  <c r="AF243" i="25"/>
  <c r="AF139" i="25"/>
  <c r="AF274" i="25"/>
  <c r="AF258" i="25"/>
  <c r="AF297" i="25"/>
  <c r="AF183" i="25"/>
  <c r="AF308" i="25"/>
  <c r="AF112" i="25"/>
  <c r="AF224" i="25"/>
  <c r="AF233" i="25"/>
  <c r="AF227" i="25"/>
  <c r="AF296" i="25"/>
  <c r="AF189" i="25"/>
  <c r="AF262" i="25"/>
  <c r="AF249" i="25"/>
  <c r="AF129" i="25"/>
  <c r="AF145" i="25"/>
  <c r="AF161" i="25"/>
  <c r="AF177" i="25"/>
  <c r="AF193" i="25"/>
  <c r="AF150" i="25"/>
  <c r="AF182" i="25"/>
  <c r="AF270" i="25"/>
  <c r="AF147" i="25"/>
  <c r="AF265" i="25"/>
  <c r="AF171" i="25"/>
  <c r="AF292" i="25"/>
  <c r="AF195" i="25"/>
  <c r="AF282" i="25"/>
  <c r="AF289" i="25"/>
  <c r="AF154" i="25"/>
  <c r="AF186" i="25"/>
  <c r="AF123" i="25"/>
  <c r="AF232" i="25"/>
  <c r="AF238" i="25"/>
  <c r="AF204" i="25"/>
  <c r="AF121" i="25"/>
  <c r="AF290" i="25"/>
  <c r="AF190" i="25"/>
  <c r="AF88" i="25"/>
  <c r="AF230" i="25"/>
  <c r="AF135" i="25"/>
  <c r="AF304" i="25"/>
  <c r="AF251" i="25"/>
  <c r="AF149" i="25"/>
  <c r="AF301" i="25"/>
  <c r="AF295" i="25"/>
  <c r="AF221" i="25"/>
  <c r="AF272" i="25"/>
  <c r="AF115" i="25"/>
  <c r="AF178" i="25"/>
  <c r="AF46" i="25"/>
  <c r="AF179" i="25"/>
  <c r="AF250" i="25"/>
  <c r="AF118" i="25"/>
  <c r="AF220" i="25"/>
  <c r="AF119" i="25"/>
  <c r="AF153" i="25"/>
  <c r="AF185" i="25"/>
  <c r="AF298" i="25"/>
  <c r="AF261" i="25"/>
  <c r="AF277" i="25"/>
  <c r="AF148" i="25"/>
  <c r="AF140" i="25"/>
  <c r="AF111" i="25"/>
  <c r="AF288" i="25"/>
  <c r="AF269" i="25"/>
  <c r="AF307" i="25"/>
  <c r="AF116" i="25"/>
  <c r="AF229" i="25"/>
  <c r="AF174" i="25"/>
  <c r="AF205" i="25"/>
  <c r="AF275" i="25"/>
  <c r="AF165" i="25"/>
  <c r="AF278" i="25"/>
  <c r="AF143" i="25"/>
  <c r="AF175" i="25"/>
  <c r="AF134" i="25"/>
  <c r="AF163" i="25"/>
  <c r="AF39" i="25"/>
  <c r="AF65" i="25"/>
  <c r="AF33" i="25"/>
  <c r="AF19" i="25"/>
  <c r="AF53" i="25"/>
  <c r="AF94" i="25"/>
  <c r="AF102" i="25"/>
  <c r="AF69" i="25"/>
  <c r="AF28" i="25"/>
  <c r="AF79" i="25"/>
  <c r="AF29" i="25"/>
  <c r="AF85" i="25"/>
  <c r="AF41" i="25"/>
  <c r="AF75" i="25"/>
  <c r="AF91" i="25"/>
  <c r="AF95" i="25"/>
  <c r="AF16" i="25"/>
  <c r="AF93" i="25"/>
  <c r="AF97" i="25"/>
  <c r="AF101" i="25"/>
  <c r="AF105" i="25"/>
  <c r="AF45" i="25"/>
  <c r="AF58" i="25"/>
  <c r="AF43" i="25"/>
  <c r="AF56" i="25"/>
  <c r="AF86" i="25"/>
  <c r="AF13" i="25"/>
  <c r="AF71" i="25"/>
  <c r="AF72" i="25"/>
  <c r="AF87" i="25"/>
  <c r="AF21" i="25"/>
  <c r="AF98" i="25"/>
  <c r="AF89" i="25"/>
  <c r="AF6" i="25"/>
  <c r="AF10" i="25"/>
  <c r="AF61" i="25"/>
  <c r="AF15" i="25"/>
  <c r="AF67" i="25"/>
  <c r="AF54" i="25"/>
  <c r="AF26" i="25"/>
  <c r="AF32" i="25"/>
  <c r="AF103" i="25"/>
  <c r="AF81" i="25"/>
  <c r="AF99" i="25"/>
  <c r="AF37" i="25"/>
  <c r="AF20" i="25"/>
  <c r="AF70" i="25"/>
  <c r="AF74" i="25"/>
  <c r="AF18" i="25"/>
  <c r="AF42" i="25"/>
  <c r="AF48" i="25"/>
  <c r="AF80" i="25"/>
  <c r="AF78" i="25"/>
  <c r="AF27" i="25"/>
  <c r="AF47" i="25"/>
  <c r="AF63" i="25"/>
  <c r="AF57" i="25"/>
  <c r="AF73" i="25"/>
  <c r="AF31" i="25"/>
  <c r="AF51" i="25"/>
  <c r="AF92" i="25"/>
  <c r="AF104" i="25"/>
  <c r="AF52" i="25"/>
  <c r="AF82" i="25"/>
  <c r="AF60" i="25"/>
  <c r="AF90" i="25"/>
  <c r="AF66" i="25"/>
  <c r="AF76" i="25"/>
  <c r="AF30" i="25"/>
  <c r="AF8" i="25"/>
  <c r="AF17" i="25"/>
  <c r="AF34" i="25"/>
  <c r="AF23" i="25"/>
  <c r="AF50" i="25"/>
  <c r="AF59" i="25"/>
  <c r="AF44" i="25"/>
  <c r="AF40" i="25"/>
  <c r="AF22" i="25"/>
  <c r="AF35" i="25"/>
  <c r="AF12" i="25"/>
  <c r="AF64" i="25"/>
  <c r="AF62" i="25"/>
  <c r="AF14" i="25"/>
  <c r="AF25" i="25"/>
  <c r="AF77" i="25"/>
  <c r="AF7" i="25"/>
  <c r="AF11" i="25"/>
  <c r="AF83" i="25"/>
  <c r="AF49" i="25"/>
  <c r="AF84" i="25"/>
  <c r="AF55" i="25"/>
  <c r="AF96" i="25"/>
  <c r="AF100" i="25"/>
  <c r="AF9" i="25"/>
  <c r="AF36" i="25"/>
  <c r="AF68" i="25"/>
  <c r="AB277" i="25"/>
  <c r="AI277" i="25" s="1"/>
  <c r="AS277" i="25" s="1"/>
  <c r="AB232" i="25"/>
  <c r="AI232" i="25" s="1"/>
  <c r="AS232" i="25" s="1"/>
  <c r="AB238" i="25"/>
  <c r="AI238" i="25" s="1"/>
  <c r="AS238" i="25" s="1"/>
  <c r="AB204" i="25"/>
  <c r="AI204" i="25" s="1"/>
  <c r="AB197" i="25"/>
  <c r="AI197" i="25" s="1"/>
  <c r="AB122" i="25"/>
  <c r="AI122" i="25" s="1"/>
  <c r="AB294" i="25"/>
  <c r="AI294" i="25" s="1"/>
  <c r="AS294" i="25" s="1"/>
  <c r="AB117" i="25"/>
  <c r="AI117" i="25" s="1"/>
  <c r="AB243" i="25"/>
  <c r="AI243" i="25" s="1"/>
  <c r="AS243" i="25" s="1"/>
  <c r="AB139" i="25"/>
  <c r="AI139" i="25" s="1"/>
  <c r="AB301" i="25"/>
  <c r="AI301" i="25" s="1"/>
  <c r="AS301" i="25" s="1"/>
  <c r="AB259" i="25"/>
  <c r="AI259" i="25" s="1"/>
  <c r="AS259" i="25" s="1"/>
  <c r="AB226" i="25"/>
  <c r="AI226" i="25" s="1"/>
  <c r="AS226" i="25" s="1"/>
  <c r="AB112" i="25"/>
  <c r="AI112" i="25" s="1"/>
  <c r="AB128" i="25"/>
  <c r="AI128" i="25" s="1"/>
  <c r="AB144" i="25"/>
  <c r="AI144" i="25" s="1"/>
  <c r="AB160" i="25"/>
  <c r="AI160" i="25" s="1"/>
  <c r="AB229" i="25"/>
  <c r="AI229" i="25" s="1"/>
  <c r="AS229" i="25" s="1"/>
  <c r="AB287" i="25"/>
  <c r="AI287" i="25" s="1"/>
  <c r="AS287" i="25" s="1"/>
  <c r="AB159" i="25"/>
  <c r="AI159" i="25" s="1"/>
  <c r="AB191" i="25"/>
  <c r="AI191" i="25" s="1"/>
  <c r="AB249" i="25"/>
  <c r="AI249" i="25" s="1"/>
  <c r="AS249" i="25" s="1"/>
  <c r="AB129" i="25"/>
  <c r="AI129" i="25" s="1"/>
  <c r="AB193" i="25"/>
  <c r="AI193" i="25" s="1"/>
  <c r="AB250" i="25"/>
  <c r="AI250" i="25" s="1"/>
  <c r="AS250" i="25" s="1"/>
  <c r="AB311" i="25"/>
  <c r="AI311" i="25" s="1"/>
  <c r="AS311" i="25" s="1"/>
  <c r="AB260" i="25"/>
  <c r="AI260" i="25" s="1"/>
  <c r="AS260" i="25" s="1"/>
  <c r="AB219" i="25"/>
  <c r="AI219" i="25" s="1"/>
  <c r="AS219" i="25" s="1"/>
  <c r="AB187" i="25"/>
  <c r="AI187" i="25" s="1"/>
  <c r="AB222" i="25"/>
  <c r="AI222" i="25" s="1"/>
  <c r="AS222" i="25" s="1"/>
  <c r="AB264" i="25"/>
  <c r="AI264" i="25" s="1"/>
  <c r="AS264" i="25" s="1"/>
  <c r="AB290" i="25"/>
  <c r="AI290" i="25" s="1"/>
  <c r="AS290" i="25" s="1"/>
  <c r="AB295" i="25"/>
  <c r="AI295" i="25" s="1"/>
  <c r="AS295" i="25" s="1"/>
  <c r="AB245" i="25"/>
  <c r="AI245" i="25" s="1"/>
  <c r="AS245" i="25" s="1"/>
  <c r="AB125" i="25"/>
  <c r="AI125" i="25" s="1"/>
  <c r="AB192" i="25"/>
  <c r="AI192" i="25" s="1"/>
  <c r="AB307" i="25"/>
  <c r="AI307" i="25" s="1"/>
  <c r="AS307" i="25" s="1"/>
  <c r="AB116" i="25"/>
  <c r="AI116" i="25" s="1"/>
  <c r="AB280" i="25"/>
  <c r="AI280" i="25" s="1"/>
  <c r="AS280" i="25" s="1"/>
  <c r="AB262" i="25"/>
  <c r="AI262" i="25" s="1"/>
  <c r="AS262" i="25" s="1"/>
  <c r="AB244" i="25"/>
  <c r="AI244" i="25" s="1"/>
  <c r="AS244" i="25" s="1"/>
  <c r="AB210" i="25"/>
  <c r="AI210" i="25" s="1"/>
  <c r="AB302" i="25"/>
  <c r="AI302" i="25" s="1"/>
  <c r="AS302" i="25" s="1"/>
  <c r="AB145" i="25"/>
  <c r="AI145" i="25" s="1"/>
  <c r="AB239" i="25"/>
  <c r="AI239" i="25" s="1"/>
  <c r="AS239" i="25" s="1"/>
  <c r="AB270" i="25"/>
  <c r="AI270" i="25" s="1"/>
  <c r="AS270" i="25" s="1"/>
  <c r="AB118" i="25"/>
  <c r="AI118" i="25" s="1"/>
  <c r="AB119" i="25"/>
  <c r="AI119" i="25" s="1"/>
  <c r="AB195" i="25"/>
  <c r="AI195" i="25" s="1"/>
  <c r="AB313" i="25"/>
  <c r="AI313" i="25" s="1"/>
  <c r="AS313" i="25" s="1"/>
  <c r="AB267" i="25"/>
  <c r="AI267" i="25" s="1"/>
  <c r="AS267" i="25" s="1"/>
  <c r="AB248" i="25"/>
  <c r="AI248" i="25" s="1"/>
  <c r="AS248" i="25" s="1"/>
  <c r="AB235" i="25"/>
  <c r="AI235" i="25" s="1"/>
  <c r="AS235" i="25" s="1"/>
  <c r="AB155" i="25"/>
  <c r="AI155" i="25" s="1"/>
  <c r="AB123" i="25"/>
  <c r="AI123" i="25" s="1"/>
  <c r="AB300" i="25"/>
  <c r="AI300" i="25" s="1"/>
  <c r="AS300" i="25" s="1"/>
  <c r="AB190" i="25"/>
  <c r="AI190" i="25" s="1"/>
  <c r="AB293" i="25"/>
  <c r="AI293" i="25" s="1"/>
  <c r="AS293" i="25" s="1"/>
  <c r="AB141" i="25"/>
  <c r="AI141" i="25" s="1"/>
  <c r="AB206" i="25"/>
  <c r="AI206" i="25" s="1"/>
  <c r="AB304" i="25"/>
  <c r="AI304" i="25" s="1"/>
  <c r="AS304" i="25" s="1"/>
  <c r="AB231" i="25"/>
  <c r="AI231" i="25" s="1"/>
  <c r="AS231" i="25" s="1"/>
  <c r="AB149" i="25"/>
  <c r="AI149" i="25" s="1"/>
  <c r="AB181" i="25"/>
  <c r="AI181" i="25" s="1"/>
  <c r="AB242" i="25"/>
  <c r="AI242" i="25" s="1"/>
  <c r="AS242" i="25" s="1"/>
  <c r="AB208" i="25"/>
  <c r="AI208" i="25" s="1"/>
  <c r="AB218" i="25"/>
  <c r="AI218" i="25" s="1"/>
  <c r="AS218" i="25" s="1"/>
  <c r="AB258" i="25"/>
  <c r="AI258" i="25" s="1"/>
  <c r="AS258" i="25" s="1"/>
  <c r="AB221" i="25"/>
  <c r="AI221" i="25" s="1"/>
  <c r="AS221" i="25" s="1"/>
  <c r="AB136" i="25"/>
  <c r="AI136" i="25" s="1"/>
  <c r="AB152" i="25"/>
  <c r="AI152" i="25" s="1"/>
  <c r="AB146" i="25"/>
  <c r="AI146" i="25" s="1"/>
  <c r="AB236" i="25"/>
  <c r="AI236" i="25" s="1"/>
  <c r="AS236" i="25" s="1"/>
  <c r="AB268" i="25"/>
  <c r="AI268" i="25" s="1"/>
  <c r="AS268" i="25" s="1"/>
  <c r="AB233" i="25"/>
  <c r="AI233" i="25" s="1"/>
  <c r="AS233" i="25" s="1"/>
  <c r="AB263" i="25"/>
  <c r="AI263" i="25" s="1"/>
  <c r="AS263" i="25" s="1"/>
  <c r="AB296" i="25"/>
  <c r="AI296" i="25" s="1"/>
  <c r="AS296" i="25" s="1"/>
  <c r="AB273" i="25"/>
  <c r="AI273" i="25" s="1"/>
  <c r="AS273" i="25" s="1"/>
  <c r="AB161" i="25"/>
  <c r="AI161" i="25" s="1"/>
  <c r="AB179" i="25"/>
  <c r="AI179" i="25" s="1"/>
  <c r="AB176" i="25"/>
  <c r="AI176" i="25" s="1"/>
  <c r="AB130" i="25"/>
  <c r="AI130" i="25" s="1"/>
  <c r="AB143" i="25"/>
  <c r="AI143" i="25" s="1"/>
  <c r="AB175" i="25"/>
  <c r="AI175" i="25" s="1"/>
  <c r="AB299" i="25"/>
  <c r="AI299" i="25" s="1"/>
  <c r="AS299" i="25" s="1"/>
  <c r="AB163" i="25"/>
  <c r="AI163" i="25" s="1"/>
  <c r="AB223" i="25"/>
  <c r="AI223" i="25" s="1"/>
  <c r="AS223" i="25" s="1"/>
  <c r="AB309" i="25"/>
  <c r="AI309" i="25" s="1"/>
  <c r="AS309" i="25" s="1"/>
  <c r="AB133" i="25"/>
  <c r="AI133" i="25" s="1"/>
  <c r="AB281" i="25"/>
  <c r="AI281" i="25" s="1"/>
  <c r="AS281" i="25" s="1"/>
  <c r="AB228" i="25"/>
  <c r="AI228" i="25" s="1"/>
  <c r="AS228" i="25" s="1"/>
  <c r="AB297" i="25"/>
  <c r="AI297" i="25" s="1"/>
  <c r="AS297" i="25" s="1"/>
  <c r="AB305" i="25"/>
  <c r="AI305" i="25" s="1"/>
  <c r="AS305" i="25" s="1"/>
  <c r="AB227" i="25"/>
  <c r="AI227" i="25" s="1"/>
  <c r="AS227" i="25" s="1"/>
  <c r="AB234" i="25"/>
  <c r="AI234" i="25" s="1"/>
  <c r="AS234" i="25" s="1"/>
  <c r="AB200" i="25"/>
  <c r="AI200" i="25" s="1"/>
  <c r="AB266" i="25"/>
  <c r="AI266" i="25" s="1"/>
  <c r="AS266" i="25" s="1"/>
  <c r="AB174" i="25"/>
  <c r="AI174" i="25" s="1"/>
  <c r="AB246" i="25"/>
  <c r="AI246" i="25" s="1"/>
  <c r="AS246" i="25" s="1"/>
  <c r="AB285" i="25"/>
  <c r="AI285" i="25" s="1"/>
  <c r="AS285" i="25" s="1"/>
  <c r="AB177" i="25"/>
  <c r="AI177" i="25" s="1"/>
  <c r="AB147" i="25"/>
  <c r="AI147" i="25" s="1"/>
  <c r="AB237" i="25"/>
  <c r="AI237" i="25" s="1"/>
  <c r="AS237" i="25" s="1"/>
  <c r="AB252" i="25"/>
  <c r="AI252" i="25" s="1"/>
  <c r="AS252" i="25" s="1"/>
  <c r="AB303" i="25"/>
  <c r="AI303" i="25" s="1"/>
  <c r="AS303" i="25" s="1"/>
  <c r="AB225" i="25"/>
  <c r="AI225" i="25" s="1"/>
  <c r="AS225" i="25" s="1"/>
  <c r="AB131" i="25"/>
  <c r="AI131" i="25" s="1"/>
  <c r="AI70" i="25"/>
  <c r="AI69" i="25"/>
  <c r="AI64" i="25"/>
  <c r="AI11" i="25"/>
  <c r="AI61" i="25"/>
  <c r="AI31" i="25"/>
  <c r="AI51" i="25"/>
  <c r="AI81" i="25"/>
  <c r="AI93" i="25"/>
  <c r="AI97" i="25"/>
  <c r="AI101" i="25"/>
  <c r="AI105" i="25"/>
  <c r="AI86" i="25"/>
  <c r="AI71" i="25"/>
  <c r="AI42" i="25"/>
  <c r="AI28" i="25"/>
  <c r="AI62" i="25"/>
  <c r="AI15" i="25"/>
  <c r="AI67" i="25"/>
  <c r="AI103" i="25"/>
  <c r="AI96" i="25"/>
  <c r="AI100" i="25"/>
  <c r="AI8" i="25"/>
  <c r="AI30" i="25"/>
  <c r="AI20" i="25"/>
  <c r="AI59" i="25"/>
  <c r="AI21" i="25"/>
  <c r="AI48" i="25"/>
  <c r="AI79" i="25"/>
  <c r="AI83" i="25"/>
  <c r="AI41" i="25"/>
  <c r="AI17" i="25"/>
  <c r="AI88" i="25"/>
  <c r="AI53" i="25"/>
  <c r="AI94" i="25"/>
  <c r="AI102" i="25"/>
  <c r="AI22" i="25"/>
  <c r="AI35" i="25"/>
  <c r="AI78" i="25"/>
  <c r="AI27" i="25"/>
  <c r="AI47" i="25"/>
  <c r="AI63" i="25"/>
  <c r="AI92" i="25"/>
  <c r="AI104" i="25"/>
  <c r="AI9" i="25"/>
  <c r="AI52" i="25"/>
  <c r="AI216" i="25"/>
  <c r="AS216" i="25" s="1"/>
  <c r="X76" i="25"/>
  <c r="X73" i="25"/>
  <c r="X75" i="25"/>
  <c r="X111" i="25"/>
  <c r="X316" i="25"/>
  <c r="X45" i="25"/>
  <c r="X86" i="25"/>
  <c r="AI199" i="25"/>
  <c r="X124" i="25"/>
  <c r="X50" i="25"/>
  <c r="X19" i="25"/>
  <c r="X164" i="25"/>
  <c r="X299" i="25"/>
  <c r="AI114" i="25"/>
  <c r="X252" i="25"/>
  <c r="AI278" i="25"/>
  <c r="AS278" i="25" s="1"/>
  <c r="AI138" i="25"/>
  <c r="X125" i="25"/>
  <c r="X225" i="25"/>
  <c r="X72" i="25"/>
  <c r="X33" i="25"/>
  <c r="X17" i="25"/>
  <c r="X23" i="25"/>
  <c r="X98" i="25"/>
  <c r="X20" i="25"/>
  <c r="X277" i="25"/>
  <c r="X172" i="25"/>
  <c r="X44" i="25"/>
  <c r="X132" i="25"/>
  <c r="X196" i="25"/>
  <c r="X122" i="25"/>
  <c r="X204" i="25"/>
  <c r="X79" i="25"/>
  <c r="X24" i="25"/>
  <c r="X60" i="25"/>
  <c r="X49" i="25"/>
  <c r="X171" i="25"/>
  <c r="X208" i="25"/>
  <c r="X269" i="25"/>
  <c r="X300" i="25"/>
  <c r="X18" i="25"/>
  <c r="X99" i="25"/>
  <c r="X83" i="25"/>
  <c r="X179" i="25"/>
  <c r="X136" i="25"/>
  <c r="X184" i="25"/>
  <c r="X41" i="25"/>
  <c r="X81" i="25"/>
  <c r="X29" i="25"/>
  <c r="X85" i="25"/>
  <c r="X31" i="25"/>
  <c r="X96" i="25"/>
  <c r="X104" i="25"/>
  <c r="X313" i="25"/>
  <c r="X144" i="25"/>
  <c r="AI196" i="25"/>
  <c r="X52" i="25"/>
  <c r="X84" i="25"/>
  <c r="X147" i="25"/>
  <c r="X152" i="25"/>
  <c r="X153" i="25"/>
  <c r="X182" i="25"/>
  <c r="X149" i="25"/>
  <c r="X46" i="25"/>
  <c r="X68" i="25"/>
  <c r="X82" i="25"/>
  <c r="X70" i="25"/>
  <c r="X209" i="25"/>
  <c r="X315" i="25"/>
  <c r="X54" i="25"/>
  <c r="X16" i="25"/>
  <c r="X32" i="25"/>
  <c r="X67" i="25"/>
  <c r="X200" i="25"/>
  <c r="AI312" i="25"/>
  <c r="AS312" i="25" s="1"/>
  <c r="AI310" i="25"/>
  <c r="AS310" i="25" s="1"/>
  <c r="AI24" i="25"/>
  <c r="X57" i="25"/>
  <c r="X61" i="25"/>
  <c r="X92" i="25"/>
  <c r="X100" i="25"/>
  <c r="AI36" i="25"/>
  <c r="AI68" i="25"/>
  <c r="AI253" i="25"/>
  <c r="AS253" i="25" s="1"/>
  <c r="AI207" i="25"/>
  <c r="AI201" i="25"/>
  <c r="X290" i="25"/>
  <c r="AI76" i="25"/>
  <c r="X288" i="25"/>
  <c r="AI14" i="25"/>
  <c r="X224" i="25"/>
  <c r="X284" i="25"/>
  <c r="AI38" i="25"/>
  <c r="X174" i="25"/>
  <c r="AI54" i="25"/>
  <c r="X146" i="25"/>
  <c r="X253" i="25"/>
  <c r="AI275" i="25"/>
  <c r="AS275" i="25" s="1"/>
  <c r="AI82" i="25"/>
  <c r="X236" i="25"/>
  <c r="X263" i="25"/>
  <c r="AI168" i="25"/>
  <c r="AI156" i="25"/>
  <c r="AI172" i="25"/>
  <c r="AI132" i="25"/>
  <c r="AI180" i="25"/>
  <c r="AI37" i="25"/>
  <c r="AI56" i="25"/>
  <c r="AI279" i="25"/>
  <c r="AS279" i="25" s="1"/>
  <c r="AI44" i="25"/>
  <c r="AI274" i="25"/>
  <c r="AS274" i="25" s="1"/>
  <c r="AI6" i="25"/>
  <c r="AI298" i="25"/>
  <c r="AS298" i="25" s="1"/>
  <c r="X87" i="25"/>
  <c r="X183" i="25"/>
  <c r="AI135" i="25"/>
  <c r="X308" i="25"/>
  <c r="X121" i="25"/>
  <c r="X155" i="25"/>
  <c r="X37" i="25"/>
  <c r="X123" i="25"/>
  <c r="X180" i="25"/>
  <c r="AI87" i="25"/>
  <c r="X165" i="25"/>
  <c r="X189" i="25"/>
  <c r="AI142" i="25"/>
  <c r="X258" i="25"/>
  <c r="X245" i="25"/>
  <c r="X12" i="25"/>
  <c r="X43" i="25"/>
  <c r="X231" i="25"/>
  <c r="X243" i="25"/>
  <c r="X301" i="25"/>
  <c r="X22" i="25"/>
  <c r="X42" i="25"/>
  <c r="X78" i="25"/>
  <c r="X114" i="25"/>
  <c r="X115" i="25"/>
  <c r="AI288" i="25"/>
  <c r="AS288" i="25" s="1"/>
  <c r="AI115" i="25"/>
  <c r="X168" i="25"/>
  <c r="X178" i="25"/>
  <c r="AI271" i="25"/>
  <c r="AS271" i="25" s="1"/>
  <c r="X7" i="25"/>
  <c r="X11" i="25"/>
  <c r="AI29" i="25"/>
  <c r="X273" i="25"/>
  <c r="X307" i="25"/>
  <c r="AI26" i="25"/>
  <c r="X118" i="25"/>
  <c r="X304" i="25"/>
  <c r="X278" i="25"/>
  <c r="X303" i="25"/>
  <c r="X221" i="25"/>
  <c r="X163" i="25"/>
  <c r="X210" i="25"/>
  <c r="X233" i="25"/>
  <c r="X271" i="25"/>
  <c r="X62" i="25"/>
  <c r="AI162" i="25"/>
  <c r="X205" i="25"/>
  <c r="X186" i="25"/>
  <c r="X240" i="25"/>
  <c r="X58" i="25"/>
  <c r="X74" i="25"/>
  <c r="AI13" i="25"/>
  <c r="AI230" i="25"/>
  <c r="AS230" i="25" s="1"/>
  <c r="X167" i="25"/>
  <c r="X187" i="25"/>
  <c r="X30" i="25"/>
  <c r="X113" i="25"/>
  <c r="X274" i="25"/>
  <c r="X156" i="25"/>
  <c r="X295" i="25"/>
  <c r="X228" i="25"/>
  <c r="X21" i="25"/>
  <c r="AI158" i="25"/>
  <c r="AI40" i="25"/>
  <c r="AI12" i="25"/>
  <c r="X112" i="25"/>
  <c r="X27" i="25"/>
  <c r="X47" i="25"/>
  <c r="X63" i="25"/>
  <c r="X126" i="25"/>
  <c r="X203" i="25"/>
  <c r="X306" i="25"/>
  <c r="X35" i="25"/>
  <c r="X80" i="25"/>
  <c r="X151" i="25"/>
  <c r="X25" i="25"/>
  <c r="X176" i="25"/>
  <c r="X36" i="25"/>
  <c r="X66" i="25"/>
  <c r="X239" i="25"/>
  <c r="X275" i="25"/>
  <c r="AI49" i="25"/>
  <c r="X272" i="25"/>
  <c r="X202" i="25"/>
  <c r="X310" i="25"/>
  <c r="X266" i="25"/>
  <c r="X314" i="25"/>
  <c r="X94" i="25"/>
  <c r="X103" i="25"/>
  <c r="X160" i="25"/>
  <c r="X15" i="25"/>
  <c r="X131" i="25"/>
  <c r="X195" i="25"/>
  <c r="AI91" i="25"/>
  <c r="X302" i="25"/>
  <c r="X166" i="25"/>
  <c r="AI255" i="25"/>
  <c r="AS255" i="25" s="1"/>
  <c r="X234" i="25"/>
  <c r="X192" i="25"/>
  <c r="AI154" i="25"/>
  <c r="X217" i="25"/>
  <c r="AI121" i="25"/>
  <c r="AI124" i="25"/>
  <c r="X283" i="25"/>
  <c r="X257" i="25"/>
  <c r="AI72" i="25"/>
  <c r="X235" i="25"/>
  <c r="AI241" i="25"/>
  <c r="AS241" i="25" s="1"/>
  <c r="AI126" i="25"/>
  <c r="X281" i="25"/>
  <c r="AI77" i="25"/>
  <c r="X244" i="25"/>
  <c r="AI85" i="25"/>
  <c r="X162" i="25"/>
  <c r="AI291" i="25"/>
  <c r="AS291" i="25" s="1"/>
  <c r="X262" i="25"/>
  <c r="X169" i="25"/>
  <c r="X247" i="25"/>
  <c r="AI165" i="25"/>
  <c r="X255" i="25"/>
  <c r="AI202" i="25"/>
  <c r="X129" i="25"/>
  <c r="X161" i="25"/>
  <c r="X177" i="25"/>
  <c r="X193" i="25"/>
  <c r="AI286" i="25"/>
  <c r="AS286" i="25" s="1"/>
  <c r="AI148" i="25"/>
  <c r="AI186" i="25"/>
  <c r="X230" i="25"/>
  <c r="AI188" i="25"/>
  <c r="X138" i="25"/>
  <c r="X254" i="25"/>
  <c r="X241" i="25"/>
  <c r="X267" i="25"/>
  <c r="X8" i="25"/>
  <c r="AI113" i="25"/>
  <c r="AI217" i="25"/>
  <c r="AS217" i="25" s="1"/>
  <c r="X157" i="25"/>
  <c r="X158" i="25"/>
  <c r="AI316" i="25"/>
  <c r="AS316" i="25" s="1"/>
  <c r="AI34" i="25"/>
  <c r="AI120" i="25"/>
  <c r="X248" i="25"/>
  <c r="AI167" i="25"/>
  <c r="AI283" i="25"/>
  <c r="AS283" i="25" s="1"/>
  <c r="AI18" i="25"/>
  <c r="X142" i="25"/>
  <c r="AI209" i="25"/>
  <c r="X297" i="25"/>
  <c r="X6" i="25"/>
  <c r="X226" i="25"/>
  <c r="X232" i="25"/>
  <c r="AI306" i="25"/>
  <c r="AS306" i="25" s="1"/>
  <c r="X141" i="25"/>
  <c r="X222" i="25"/>
  <c r="AI256" i="25"/>
  <c r="AS256" i="25" s="1"/>
  <c r="AI308" i="25"/>
  <c r="AS308" i="25" s="1"/>
  <c r="AI284" i="25"/>
  <c r="AS284" i="25" s="1"/>
  <c r="AI203" i="25"/>
  <c r="AI272" i="25"/>
  <c r="AS272" i="25" s="1"/>
  <c r="AI57" i="25"/>
  <c r="AI224" i="25"/>
  <c r="AS224" i="25" s="1"/>
  <c r="AI184" i="25"/>
  <c r="AI178" i="25"/>
  <c r="X207" i="25"/>
  <c r="AI7" i="25"/>
  <c r="X250" i="25"/>
  <c r="X237" i="25"/>
  <c r="AI189" i="25"/>
  <c r="AI32" i="25"/>
  <c r="X298" i="25"/>
  <c r="AI55" i="25"/>
  <c r="X130" i="25"/>
  <c r="X268" i="25"/>
  <c r="X185" i="25"/>
  <c r="AI182" i="25"/>
  <c r="X289" i="25"/>
  <c r="AI265" i="25"/>
  <c r="AS265" i="25" s="1"/>
  <c r="AI220" i="25"/>
  <c r="AS220" i="25" s="1"/>
  <c r="AI60" i="25"/>
  <c r="X117" i="25"/>
  <c r="X181" i="25"/>
  <c r="AI137" i="25"/>
  <c r="AI153" i="25"/>
  <c r="AI169" i="25"/>
  <c r="AI185" i="25"/>
  <c r="AI166" i="25"/>
  <c r="X229" i="25"/>
  <c r="X296" i="25"/>
  <c r="AI261" i="25"/>
  <c r="AS261" i="25" s="1"/>
  <c r="AI194" i="25"/>
  <c r="AI16" i="25"/>
  <c r="AI247" i="25"/>
  <c r="AS247" i="25" s="1"/>
  <c r="AI289" i="25"/>
  <c r="AS289" i="25" s="1"/>
  <c r="AI282" i="25"/>
  <c r="AS282" i="25" s="1"/>
  <c r="X251" i="25"/>
  <c r="AI170" i="25"/>
  <c r="X223" i="25"/>
  <c r="AI39" i="25"/>
  <c r="X264" i="25"/>
  <c r="AI240" i="25"/>
  <c r="AS240" i="25" s="1"/>
  <c r="X190" i="25"/>
  <c r="AI33" i="25"/>
  <c r="AI19" i="25"/>
  <c r="AI157" i="25"/>
  <c r="X291" i="25"/>
  <c r="X261" i="25"/>
  <c r="AI183" i="25"/>
  <c r="X242" i="25"/>
  <c r="AI10" i="25"/>
  <c r="AI269" i="25"/>
  <c r="AS269" i="25" s="1"/>
  <c r="X287" i="25"/>
  <c r="X249" i="25"/>
  <c r="AI84" i="25"/>
  <c r="X282" i="25"/>
  <c r="AI150" i="25"/>
  <c r="X220" i="25"/>
  <c r="X194" i="25"/>
  <c r="AI75" i="25"/>
  <c r="X145" i="25"/>
  <c r="AI134" i="25"/>
  <c r="X198" i="25"/>
  <c r="AI90" i="25"/>
  <c r="X219" i="25"/>
  <c r="X56" i="25"/>
  <c r="X13" i="25"/>
  <c r="X65" i="25"/>
  <c r="X93" i="25"/>
  <c r="X97" i="25"/>
  <c r="X101" i="25"/>
  <c r="X105" i="25"/>
  <c r="AI164" i="25"/>
  <c r="X154" i="25"/>
  <c r="X256" i="25"/>
  <c r="X14" i="25"/>
  <c r="X89" i="25"/>
  <c r="X40" i="25"/>
  <c r="X71" i="25"/>
  <c r="AI140" i="25"/>
  <c r="X170" i="25"/>
  <c r="X309" i="25"/>
  <c r="X279" i="25"/>
  <c r="X38" i="25"/>
  <c r="X173" i="25"/>
  <c r="X201" i="25"/>
  <c r="AI45" i="25"/>
  <c r="X88" i="25"/>
  <c r="X120" i="25"/>
  <c r="X140" i="25"/>
  <c r="AI151" i="25"/>
  <c r="X294" i="25"/>
  <c r="AI58" i="25"/>
  <c r="AI43" i="25"/>
  <c r="AI111" i="25"/>
  <c r="AI173" i="25"/>
  <c r="AI65" i="25"/>
  <c r="X55" i="25"/>
  <c r="X238" i="25"/>
  <c r="AI257" i="25"/>
  <c r="AS257" i="25" s="1"/>
  <c r="AI23" i="25"/>
  <c r="X133" i="25"/>
  <c r="X197" i="25"/>
  <c r="X148" i="25"/>
  <c r="X135" i="25"/>
  <c r="AI315" i="25"/>
  <c r="AS315" i="25" s="1"/>
  <c r="X34" i="25"/>
  <c r="AI74" i="25"/>
  <c r="AI251" i="25"/>
  <c r="AS251" i="25" s="1"/>
  <c r="AI50" i="25"/>
  <c r="AI254" i="25"/>
  <c r="AS254" i="25" s="1"/>
  <c r="X293" i="25"/>
  <c r="X53" i="25"/>
  <c r="X90" i="25"/>
  <c r="X59" i="25"/>
  <c r="X127" i="25"/>
  <c r="X259" i="25"/>
  <c r="X69" i="25"/>
  <c r="X28" i="25"/>
  <c r="X39" i="25"/>
  <c r="X206" i="25"/>
  <c r="X305" i="25"/>
  <c r="X48" i="25"/>
  <c r="AI80" i="25"/>
  <c r="AI98" i="25"/>
  <c r="AI89" i="25"/>
  <c r="X9" i="25"/>
  <c r="X139" i="25"/>
  <c r="X10" i="25"/>
  <c r="AI25" i="25"/>
  <c r="X218" i="25"/>
  <c r="AI73" i="25"/>
  <c r="X199" i="25"/>
  <c r="X95" i="25"/>
  <c r="X246" i="25"/>
  <c r="X285" i="25"/>
  <c r="X26" i="25"/>
  <c r="X51" i="25"/>
  <c r="X102" i="25"/>
  <c r="X276" i="25"/>
  <c r="AI46" i="25"/>
  <c r="X116" i="25"/>
  <c r="X119" i="25"/>
  <c r="X91" i="25"/>
  <c r="X143" i="25"/>
  <c r="X175" i="25"/>
  <c r="X265" i="25"/>
  <c r="X312" i="25"/>
  <c r="X137" i="25"/>
  <c r="X150" i="25"/>
  <c r="X270" i="25"/>
  <c r="AI205" i="25"/>
  <c r="X77" i="25"/>
  <c r="X128" i="25"/>
  <c r="X286" i="25"/>
  <c r="X188" i="25"/>
  <c r="AI171" i="25"/>
  <c r="X64" i="25"/>
  <c r="AI99" i="25"/>
  <c r="X159" i="25"/>
  <c r="X191" i="25"/>
  <c r="AI276" i="25"/>
  <c r="AS276" i="25" s="1"/>
  <c r="AI292" i="25"/>
  <c r="AS292" i="25" s="1"/>
  <c r="X227" i="25"/>
  <c r="X134" i="25"/>
  <c r="AI198" i="25"/>
  <c r="X280" i="25"/>
  <c r="X311" i="25"/>
  <c r="AI314" i="25"/>
  <c r="AS314" i="25" s="1"/>
  <c r="AI127" i="25"/>
  <c r="AI95" i="25"/>
  <c r="X260" i="25"/>
  <c r="X292" i="25"/>
  <c r="AI66" i="25"/>
  <c r="AJ197" i="24"/>
  <c r="AJ127" i="24"/>
  <c r="Y200" i="24"/>
  <c r="Y123" i="24"/>
  <c r="Y310" i="24"/>
  <c r="AJ288" i="24"/>
  <c r="AT288" i="24" s="1"/>
  <c r="Y124" i="24"/>
  <c r="AJ121" i="24"/>
  <c r="Y126" i="24"/>
  <c r="Y160" i="24"/>
  <c r="Y140" i="24"/>
  <c r="Y197" i="24"/>
  <c r="Y173" i="24"/>
  <c r="AJ272" i="24"/>
  <c r="AT272" i="24" s="1"/>
  <c r="AJ256" i="24"/>
  <c r="AT256" i="24" s="1"/>
  <c r="AJ310" i="24"/>
  <c r="AT310" i="24" s="1"/>
  <c r="AJ229" i="24"/>
  <c r="AT229" i="24" s="1"/>
  <c r="AJ224" i="24"/>
  <c r="AT224" i="24" s="1"/>
  <c r="AJ111" i="24"/>
  <c r="AJ268" i="24"/>
  <c r="AT268" i="24" s="1"/>
  <c r="Y112" i="24"/>
  <c r="Y111" i="24"/>
  <c r="Y201" i="24"/>
  <c r="AG140" i="24"/>
  <c r="AF140" i="24"/>
  <c r="AF155" i="24"/>
  <c r="Y180" i="24"/>
  <c r="AF187" i="24"/>
  <c r="AG126" i="24"/>
  <c r="AF126" i="24"/>
  <c r="AG160" i="24"/>
  <c r="AF160" i="24"/>
  <c r="AG178" i="24"/>
  <c r="AF178" i="24"/>
  <c r="AG175" i="24"/>
  <c r="AF175" i="24"/>
  <c r="AG197" i="24"/>
  <c r="AF197" i="24"/>
  <c r="AG111" i="24"/>
  <c r="AF111" i="24"/>
  <c r="AG164" i="24"/>
  <c r="AF164" i="24"/>
  <c r="AF153" i="24"/>
  <c r="AJ297" i="24"/>
  <c r="AT297" i="24" s="1"/>
  <c r="AG118" i="24"/>
  <c r="AF118" i="24"/>
  <c r="AG173" i="24"/>
  <c r="AF173" i="24"/>
  <c r="AG180" i="24"/>
  <c r="AF180" i="24"/>
  <c r="AG129" i="24"/>
  <c r="AF129" i="24"/>
  <c r="AF169" i="24"/>
  <c r="AF115" i="24"/>
  <c r="AG138" i="24"/>
  <c r="AF138" i="24"/>
  <c r="AF203" i="24"/>
  <c r="AG124" i="24"/>
  <c r="AF124" i="24"/>
  <c r="AF136" i="24"/>
  <c r="AF116" i="24"/>
  <c r="AJ271" i="24"/>
  <c r="AT271" i="24" s="1"/>
  <c r="AJ292" i="24"/>
  <c r="AT292" i="24" s="1"/>
  <c r="Y243" i="24"/>
  <c r="Y286" i="24"/>
  <c r="AJ221" i="24"/>
  <c r="AT221" i="24" s="1"/>
  <c r="AF157" i="24"/>
  <c r="AF195" i="24"/>
  <c r="AF181" i="24"/>
  <c r="AG200" i="24"/>
  <c r="AF200" i="24"/>
  <c r="AG202" i="24"/>
  <c r="AF202" i="24"/>
  <c r="AG135" i="24"/>
  <c r="AF135" i="24"/>
  <c r="Y172" i="24"/>
  <c r="Y175" i="24"/>
  <c r="AF208" i="24"/>
  <c r="AF207" i="24"/>
  <c r="AG121" i="24"/>
  <c r="AF121" i="24"/>
  <c r="AG127" i="24"/>
  <c r="AF127" i="24"/>
  <c r="AJ300" i="24"/>
  <c r="AT300" i="24" s="1"/>
  <c r="AJ307" i="24"/>
  <c r="AT307" i="24" s="1"/>
  <c r="AF29" i="24"/>
  <c r="AJ227" i="24"/>
  <c r="AT227" i="24" s="1"/>
  <c r="AJ250" i="24"/>
  <c r="AT250" i="24" s="1"/>
  <c r="AJ251" i="24"/>
  <c r="AT251" i="24" s="1"/>
  <c r="AJ285" i="24"/>
  <c r="AT285" i="24" s="1"/>
  <c r="AJ301" i="24"/>
  <c r="AT301" i="24" s="1"/>
  <c r="AJ222" i="24"/>
  <c r="AT222" i="24" s="1"/>
  <c r="AJ273" i="24"/>
  <c r="AT273" i="24" s="1"/>
  <c r="AJ245" i="24"/>
  <c r="AT245" i="24" s="1"/>
  <c r="AF79" i="24"/>
  <c r="AF72" i="24"/>
  <c r="AF63" i="24"/>
  <c r="AF31" i="24"/>
  <c r="AF87" i="24"/>
  <c r="AJ294" i="24"/>
  <c r="AT294" i="24" s="1"/>
  <c r="AJ304" i="24"/>
  <c r="AT304" i="24" s="1"/>
  <c r="AJ303" i="24"/>
  <c r="AT303" i="24" s="1"/>
  <c r="AJ230" i="24"/>
  <c r="AT230" i="24" s="1"/>
  <c r="AJ315" i="24"/>
  <c r="AT315" i="24" s="1"/>
  <c r="Y247" i="24"/>
  <c r="Y300" i="24"/>
  <c r="Y274" i="24"/>
  <c r="AJ254" i="24"/>
  <c r="AT254" i="24" s="1"/>
  <c r="Y294" i="24"/>
  <c r="AJ236" i="24"/>
  <c r="AT236" i="24" s="1"/>
  <c r="AJ223" i="24"/>
  <c r="AT223" i="24" s="1"/>
  <c r="AJ240" i="24"/>
  <c r="AT240" i="24" s="1"/>
  <c r="AJ302" i="24"/>
  <c r="AT302" i="24" s="1"/>
  <c r="AJ233" i="24"/>
  <c r="AT233" i="24" s="1"/>
  <c r="AJ258" i="24"/>
  <c r="AT258" i="24" s="1"/>
  <c r="AJ309" i="24"/>
  <c r="AT309" i="24" s="1"/>
  <c r="AJ247" i="24"/>
  <c r="AT247" i="24" s="1"/>
  <c r="AJ314" i="24"/>
  <c r="AT314" i="24" s="1"/>
  <c r="AJ218" i="24"/>
  <c r="AT218" i="24" s="1"/>
  <c r="AJ216" i="24"/>
  <c r="AT216" i="24" s="1"/>
  <c r="AG230" i="24"/>
  <c r="AF230" i="24"/>
  <c r="AF234" i="24"/>
  <c r="AG234" i="24"/>
  <c r="AG314" i="24"/>
  <c r="AF314" i="24"/>
  <c r="AG219" i="24"/>
  <c r="AF219" i="24"/>
  <c r="AG241" i="24"/>
  <c r="AF241" i="24"/>
  <c r="AF248" i="24"/>
  <c r="AG293" i="24"/>
  <c r="AF293" i="24"/>
  <c r="AG223" i="24"/>
  <c r="AF223" i="24"/>
  <c r="Y302" i="24"/>
  <c r="AF272" i="24"/>
  <c r="AG272" i="24"/>
  <c r="AG300" i="24"/>
  <c r="AF300" i="24"/>
  <c r="AF235" i="24"/>
  <c r="AG235" i="24"/>
  <c r="AJ316" i="24"/>
  <c r="AT316" i="24" s="1"/>
  <c r="Y256" i="24"/>
  <c r="AG251" i="24"/>
  <c r="AF251" i="24"/>
  <c r="Y223" i="24"/>
  <c r="Y312" i="24"/>
  <c r="Y227" i="24"/>
  <c r="AG307" i="24"/>
  <c r="AF307" i="24"/>
  <c r="AG227" i="24"/>
  <c r="AF227" i="24"/>
  <c r="AF233" i="24"/>
  <c r="AG233" i="24"/>
  <c r="AJ275" i="24"/>
  <c r="AT275" i="24" s="1"/>
  <c r="AG258" i="24"/>
  <c r="AF258" i="24"/>
  <c r="AF280" i="24"/>
  <c r="AG256" i="24"/>
  <c r="AF256" i="24"/>
  <c r="AF277" i="24"/>
  <c r="AG271" i="24"/>
  <c r="AF271" i="24"/>
  <c r="AF315" i="24"/>
  <c r="AG315" i="24"/>
  <c r="AJ228" i="24"/>
  <c r="AT228" i="24" s="1"/>
  <c r="Y264" i="24"/>
  <c r="AG250" i="24"/>
  <c r="AF250" i="24"/>
  <c r="AF298" i="24"/>
  <c r="AG292" i="24"/>
  <c r="AF292" i="24"/>
  <c r="AF288" i="24"/>
  <c r="AG288" i="24"/>
  <c r="AF221" i="24"/>
  <c r="AG221" i="24"/>
  <c r="AJ286" i="24"/>
  <c r="AT286" i="24" s="1"/>
  <c r="AJ274" i="24"/>
  <c r="AT274" i="24" s="1"/>
  <c r="AF306" i="24"/>
  <c r="AG316" i="24"/>
  <c r="AF316" i="24"/>
  <c r="AJ266" i="24"/>
  <c r="AT266" i="24" s="1"/>
  <c r="AJ220" i="24"/>
  <c r="AT220" i="24" s="1"/>
  <c r="AG236" i="24"/>
  <c r="AF236" i="24"/>
  <c r="Y304" i="24"/>
  <c r="AJ243" i="24"/>
  <c r="AT243" i="24" s="1"/>
  <c r="AF282" i="24"/>
  <c r="AG240" i="24"/>
  <c r="AF240" i="24"/>
  <c r="AG294" i="24"/>
  <c r="AF294" i="24"/>
  <c r="AF239" i="24"/>
  <c r="AG239" i="24"/>
  <c r="AF304" i="24"/>
  <c r="AG304" i="24"/>
  <c r="AF218" i="24"/>
  <c r="AG218" i="24"/>
  <c r="AF268" i="24"/>
  <c r="AG268" i="24"/>
  <c r="AG287" i="24"/>
  <c r="AF287" i="24"/>
  <c r="AG285" i="24"/>
  <c r="AF285" i="24"/>
  <c r="AF261" i="24"/>
  <c r="AG264" i="24"/>
  <c r="AF264" i="24"/>
  <c r="AF259" i="24"/>
  <c r="AG259" i="24"/>
  <c r="AG245" i="24"/>
  <c r="AF245" i="24"/>
  <c r="Y218" i="24"/>
  <c r="AF283" i="24"/>
  <c r="Y316" i="24"/>
  <c r="AF276" i="24"/>
  <c r="AG279" i="24"/>
  <c r="AF279" i="24"/>
  <c r="AG301" i="24"/>
  <c r="AF301" i="24"/>
  <c r="AG297" i="24"/>
  <c r="AF297" i="24"/>
  <c r="AG310" i="24"/>
  <c r="AF310" i="24"/>
  <c r="AJ239" i="24"/>
  <c r="AT239" i="24" s="1"/>
  <c r="AF229" i="24"/>
  <c r="AG229" i="24"/>
  <c r="AG275" i="24"/>
  <c r="AF275" i="24"/>
  <c r="AG303" i="24"/>
  <c r="AF303" i="24"/>
  <c r="Y222" i="24"/>
  <c r="Y244" i="24"/>
  <c r="AG309" i="24"/>
  <c r="AF309" i="24"/>
  <c r="AF247" i="24"/>
  <c r="AG247" i="24"/>
  <c r="AJ234" i="24"/>
  <c r="AT234" i="24" s="1"/>
  <c r="AF228" i="24"/>
  <c r="AG228" i="24"/>
  <c r="Y235" i="24"/>
  <c r="AJ235" i="24"/>
  <c r="AT235" i="24" s="1"/>
  <c r="AG286" i="24"/>
  <c r="AF286" i="24"/>
  <c r="AJ219" i="24"/>
  <c r="AT219" i="24" s="1"/>
  <c r="AF254" i="24"/>
  <c r="AG254" i="24"/>
  <c r="AF274" i="24"/>
  <c r="AG274" i="24"/>
  <c r="AF262" i="24"/>
  <c r="AG266" i="24"/>
  <c r="AF266" i="24"/>
  <c r="AJ287" i="24"/>
  <c r="AT287" i="24" s="1"/>
  <c r="AG220" i="24"/>
  <c r="AF220" i="24"/>
  <c r="AG216" i="24"/>
  <c r="AF216" i="24"/>
  <c r="Y314" i="24"/>
  <c r="Y309" i="24"/>
  <c r="Y254" i="24"/>
  <c r="AF224" i="24"/>
  <c r="AG224" i="24"/>
  <c r="AJ279" i="24"/>
  <c r="AT279" i="24" s="1"/>
  <c r="AJ241" i="24"/>
  <c r="AT241" i="24" s="1"/>
  <c r="AJ293" i="24"/>
  <c r="AT293" i="24" s="1"/>
  <c r="AG243" i="24"/>
  <c r="AF243" i="24"/>
  <c r="AG222" i="24"/>
  <c r="AF222" i="24"/>
  <c r="AG273" i="24"/>
  <c r="AF273" i="24"/>
  <c r="AJ264" i="24"/>
  <c r="AT264" i="24" s="1"/>
  <c r="AJ259" i="24"/>
  <c r="AT259" i="24" s="1"/>
  <c r="Y245" i="24"/>
  <c r="Y279" i="24"/>
  <c r="AG302" i="24"/>
  <c r="AF302" i="24"/>
  <c r="AF270" i="24"/>
  <c r="AF41" i="24"/>
  <c r="AF59" i="24"/>
  <c r="AF89" i="24"/>
  <c r="AF54" i="24"/>
  <c r="AF68" i="24"/>
  <c r="AF51" i="24"/>
  <c r="AF46" i="24"/>
  <c r="AF92" i="24"/>
  <c r="AF19" i="24"/>
  <c r="AF82" i="24"/>
  <c r="AF18" i="24"/>
  <c r="AF28" i="24"/>
  <c r="AF40" i="24"/>
  <c r="Y5" i="24"/>
  <c r="Y33" i="24"/>
  <c r="Y96" i="24"/>
  <c r="Y21" i="24"/>
  <c r="AJ203" i="24" l="1"/>
  <c r="AT203" i="24" s="1"/>
  <c r="AS134" i="25"/>
  <c r="AX134" i="25" s="1"/>
  <c r="AS202" i="25"/>
  <c r="AW202" i="25" s="1"/>
  <c r="AS177" i="25"/>
  <c r="AX177" i="25" s="1"/>
  <c r="AS187" i="25"/>
  <c r="AX187" i="25" s="1"/>
  <c r="AS191" i="25"/>
  <c r="AW191" i="25" s="1"/>
  <c r="AS183" i="25"/>
  <c r="AX183" i="25" s="1"/>
  <c r="AS182" i="25"/>
  <c r="AX182" i="25" s="1"/>
  <c r="AS209" i="25"/>
  <c r="AX209" i="25" s="1"/>
  <c r="AS186" i="25"/>
  <c r="AX186" i="25" s="1"/>
  <c r="AS180" i="25"/>
  <c r="AX180" i="25" s="1"/>
  <c r="AS200" i="25"/>
  <c r="AX200" i="25" s="1"/>
  <c r="AS179" i="25"/>
  <c r="AW179" i="25" s="1"/>
  <c r="AS146" i="25"/>
  <c r="AW146" i="25" s="1"/>
  <c r="AS181" i="25"/>
  <c r="AW181" i="25" s="1"/>
  <c r="AS119" i="25"/>
  <c r="AX119" i="25" s="1"/>
  <c r="AS193" i="25"/>
  <c r="AX193" i="25" s="1"/>
  <c r="AS144" i="25"/>
  <c r="AX144" i="25" s="1"/>
  <c r="AS117" i="25"/>
  <c r="AX117" i="25" s="1"/>
  <c r="AS205" i="25"/>
  <c r="AW205" i="25" s="1"/>
  <c r="AS173" i="25"/>
  <c r="AX173" i="25" s="1"/>
  <c r="AS140" i="25"/>
  <c r="AX140" i="25" s="1"/>
  <c r="AS194" i="25"/>
  <c r="AX194" i="25" s="1"/>
  <c r="AS166" i="25"/>
  <c r="AW166" i="25" s="1"/>
  <c r="AS137" i="25"/>
  <c r="AX137" i="25" s="1"/>
  <c r="AS184" i="25"/>
  <c r="AW184" i="25" s="1"/>
  <c r="AS203" i="25"/>
  <c r="AX203" i="25" s="1"/>
  <c r="AS148" i="25"/>
  <c r="AW148" i="25" s="1"/>
  <c r="AS165" i="25"/>
  <c r="AX165" i="25" s="1"/>
  <c r="AS124" i="25"/>
  <c r="AX124" i="25" s="1"/>
  <c r="AS158" i="25"/>
  <c r="AX158" i="25" s="1"/>
  <c r="AS132" i="25"/>
  <c r="AX132" i="25" s="1"/>
  <c r="AS207" i="25"/>
  <c r="AW207" i="25" s="1"/>
  <c r="AS138" i="25"/>
  <c r="AX138" i="25" s="1"/>
  <c r="AS131" i="25"/>
  <c r="AW131" i="25" s="1"/>
  <c r="AS143" i="25"/>
  <c r="AX143" i="25" s="1"/>
  <c r="AS161" i="25"/>
  <c r="AX161" i="25" s="1"/>
  <c r="AS152" i="25"/>
  <c r="AX152" i="25" s="1"/>
  <c r="AS149" i="25"/>
  <c r="AX149" i="25" s="1"/>
  <c r="AS141" i="25"/>
  <c r="AX141" i="25" s="1"/>
  <c r="AS123" i="25"/>
  <c r="AW123" i="25" s="1"/>
  <c r="AS118" i="25"/>
  <c r="AX118" i="25" s="1"/>
  <c r="AS125" i="25"/>
  <c r="AX125" i="25" s="1"/>
  <c r="AS129" i="25"/>
  <c r="AW129" i="25" s="1"/>
  <c r="AS128" i="25"/>
  <c r="AX128" i="25" s="1"/>
  <c r="AS127" i="25"/>
  <c r="AX127" i="25" s="1"/>
  <c r="AS198" i="25"/>
  <c r="AW198" i="25" s="1"/>
  <c r="AS157" i="25"/>
  <c r="AX157" i="25" s="1"/>
  <c r="AS170" i="25"/>
  <c r="AX170" i="25" s="1"/>
  <c r="AS169" i="25"/>
  <c r="AW169" i="25" s="1"/>
  <c r="AS189" i="25"/>
  <c r="AX189" i="25" s="1"/>
  <c r="AS126" i="25"/>
  <c r="AX126" i="25" s="1"/>
  <c r="AS156" i="25"/>
  <c r="AW156" i="25" s="1"/>
  <c r="AS133" i="25"/>
  <c r="AX133" i="25" s="1"/>
  <c r="AS176" i="25"/>
  <c r="AX176" i="25" s="1"/>
  <c r="AS190" i="25"/>
  <c r="AW190" i="25" s="1"/>
  <c r="AS195" i="25"/>
  <c r="AX195" i="25" s="1"/>
  <c r="AS160" i="25"/>
  <c r="AX160" i="25" s="1"/>
  <c r="AS197" i="25"/>
  <c r="AX197" i="25" s="1"/>
  <c r="AS171" i="25"/>
  <c r="AX171" i="25" s="1"/>
  <c r="AS164" i="25"/>
  <c r="AW164" i="25" s="1"/>
  <c r="AS150" i="25"/>
  <c r="AX150" i="25" s="1"/>
  <c r="AS153" i="25"/>
  <c r="AW153" i="25" s="1"/>
  <c r="AS178" i="25"/>
  <c r="AW178" i="25" s="1"/>
  <c r="AS167" i="25"/>
  <c r="AX167" i="25" s="1"/>
  <c r="AS113" i="25"/>
  <c r="AX113" i="25" s="1"/>
  <c r="AS154" i="25"/>
  <c r="AX154" i="25" s="1"/>
  <c r="AS142" i="25"/>
  <c r="AX142" i="25" s="1"/>
  <c r="AS168" i="25"/>
  <c r="AW168" i="25" s="1"/>
  <c r="AS201" i="25"/>
  <c r="AW201" i="25" s="1"/>
  <c r="AS114" i="25"/>
  <c r="AX114" i="25" s="1"/>
  <c r="AS175" i="25"/>
  <c r="AX175" i="25" s="1"/>
  <c r="AS206" i="25"/>
  <c r="AW206" i="25" s="1"/>
  <c r="AS145" i="25"/>
  <c r="AX145" i="25" s="1"/>
  <c r="AS192" i="25"/>
  <c r="AX192" i="25" s="1"/>
  <c r="AS159" i="25"/>
  <c r="AX159" i="25" s="1"/>
  <c r="AS204" i="25"/>
  <c r="AX204" i="25" s="1"/>
  <c r="AS111" i="25"/>
  <c r="AX111" i="25" s="1"/>
  <c r="AS151" i="25"/>
  <c r="AX151" i="25" s="1"/>
  <c r="AS185" i="25"/>
  <c r="AW185" i="25" s="1"/>
  <c r="AS120" i="25"/>
  <c r="AW120" i="25" s="1"/>
  <c r="AS188" i="25"/>
  <c r="AX188" i="25" s="1"/>
  <c r="AS121" i="25"/>
  <c r="AW121" i="25" s="1"/>
  <c r="AS162" i="25"/>
  <c r="AX162" i="25" s="1"/>
  <c r="AS115" i="25"/>
  <c r="AX115" i="25" s="1"/>
  <c r="AS135" i="25"/>
  <c r="AW135" i="25" s="1"/>
  <c r="AS172" i="25"/>
  <c r="AX172" i="25" s="1"/>
  <c r="AS196" i="25"/>
  <c r="AX196" i="25" s="1"/>
  <c r="AS199" i="25"/>
  <c r="AX199" i="25" s="1"/>
  <c r="AS147" i="25"/>
  <c r="AX147" i="25" s="1"/>
  <c r="AS174" i="25"/>
  <c r="AX174" i="25" s="1"/>
  <c r="AS163" i="25"/>
  <c r="AW163" i="25" s="1"/>
  <c r="AS130" i="25"/>
  <c r="AX130" i="25" s="1"/>
  <c r="AS136" i="25"/>
  <c r="AX136" i="25" s="1"/>
  <c r="AS208" i="25"/>
  <c r="AW208" i="25" s="1"/>
  <c r="AS155" i="25"/>
  <c r="AX155" i="25" s="1"/>
  <c r="AS210" i="25"/>
  <c r="AX210" i="25" s="1"/>
  <c r="AS116" i="25"/>
  <c r="AX116" i="25" s="1"/>
  <c r="AS112" i="25"/>
  <c r="AW112" i="25" s="1"/>
  <c r="AS139" i="25"/>
  <c r="AX139" i="25" s="1"/>
  <c r="AS122" i="25"/>
  <c r="AX122" i="25" s="1"/>
  <c r="AS110" i="25"/>
  <c r="AX110" i="25" s="1"/>
  <c r="AT141" i="24"/>
  <c r="AT145" i="24"/>
  <c r="AT205" i="24"/>
  <c r="AT194" i="24"/>
  <c r="AT125" i="24"/>
  <c r="AT131" i="24"/>
  <c r="AT150" i="24"/>
  <c r="AT188" i="24"/>
  <c r="AT170" i="24"/>
  <c r="AT162" i="24"/>
  <c r="AT113" i="24"/>
  <c r="AT143" i="24"/>
  <c r="AT127" i="24"/>
  <c r="AT110" i="24"/>
  <c r="AT184" i="24"/>
  <c r="AT154" i="24"/>
  <c r="AT119" i="24"/>
  <c r="AT167" i="24"/>
  <c r="AT152" i="24"/>
  <c r="AT128" i="24"/>
  <c r="AT186" i="24"/>
  <c r="AT179" i="24"/>
  <c r="AT163" i="24"/>
  <c r="AT161" i="24"/>
  <c r="AT209" i="24"/>
  <c r="AT133" i="24"/>
  <c r="AT139" i="24"/>
  <c r="AT168" i="24"/>
  <c r="AT176" i="24"/>
  <c r="AT198" i="24"/>
  <c r="AT130" i="24"/>
  <c r="AT191" i="24"/>
  <c r="AT193" i="24"/>
  <c r="AT190" i="24"/>
  <c r="AT197" i="24"/>
  <c r="AT137" i="24"/>
  <c r="AT159" i="24"/>
  <c r="AT142" i="24"/>
  <c r="AT183" i="24"/>
  <c r="AT177" i="24"/>
  <c r="AT165" i="24"/>
  <c r="AT192" i="24"/>
  <c r="AT196" i="24"/>
  <c r="AT189" i="24"/>
  <c r="AT144" i="24"/>
  <c r="AT151" i="24"/>
  <c r="AT146" i="24"/>
  <c r="AT166" i="24"/>
  <c r="AT185" i="24"/>
  <c r="AT111" i="24"/>
  <c r="AT199" i="24"/>
  <c r="AT156" i="24"/>
  <c r="AT204" i="24"/>
  <c r="AT114" i="24"/>
  <c r="AT120" i="24"/>
  <c r="AT158" i="24"/>
  <c r="AT121" i="24"/>
  <c r="AT182" i="24"/>
  <c r="AT149" i="24"/>
  <c r="AT134" i="24"/>
  <c r="AT206" i="24"/>
  <c r="AT174" i="24"/>
  <c r="AT117" i="24"/>
  <c r="AT147" i="24"/>
  <c r="AT171" i="24"/>
  <c r="AT132" i="24"/>
  <c r="AV23" i="24"/>
  <c r="AV73" i="24"/>
  <c r="AV104" i="24"/>
  <c r="AV105" i="24"/>
  <c r="AV100" i="24"/>
  <c r="AV53" i="24"/>
  <c r="AV36" i="24"/>
  <c r="AV5" i="24"/>
  <c r="BT5" i="24"/>
  <c r="AV27" i="24"/>
  <c r="AV87" i="24"/>
  <c r="AV95" i="24"/>
  <c r="AV69" i="24"/>
  <c r="AV70" i="24"/>
  <c r="AV42" i="24"/>
  <c r="AV60" i="24"/>
  <c r="AV50" i="24"/>
  <c r="AV78" i="24"/>
  <c r="AV32" i="24"/>
  <c r="AV14" i="24"/>
  <c r="AV83" i="24"/>
  <c r="AV10" i="24"/>
  <c r="AV25" i="24"/>
  <c r="AJ55" i="24"/>
  <c r="AT55" i="24" s="1"/>
  <c r="BA55" i="24" s="1"/>
  <c r="AG289" i="24"/>
  <c r="AG152" i="24"/>
  <c r="AG70" i="24"/>
  <c r="AJ277" i="24"/>
  <c r="AT277" i="24" s="1"/>
  <c r="AG277" i="24"/>
  <c r="AN277" i="24" s="1"/>
  <c r="CB277" i="24" s="1"/>
  <c r="AF253" i="24"/>
  <c r="AN253" i="24" s="1"/>
  <c r="AF305" i="24"/>
  <c r="AK305" i="24" s="1"/>
  <c r="AG190" i="24"/>
  <c r="AN190" i="24" s="1"/>
  <c r="AJ207" i="24"/>
  <c r="AG280" i="24"/>
  <c r="AN280" i="24" s="1"/>
  <c r="AJ260" i="24"/>
  <c r="AT260" i="24" s="1"/>
  <c r="AJ280" i="24"/>
  <c r="AT280" i="24" s="1"/>
  <c r="AG260" i="24"/>
  <c r="AJ195" i="24"/>
  <c r="AJ244" i="24"/>
  <c r="AT244" i="24" s="1"/>
  <c r="AG283" i="24"/>
  <c r="AN283" i="24" s="1"/>
  <c r="CB283" i="24" s="1"/>
  <c r="AJ248" i="24"/>
  <c r="AT248" i="24" s="1"/>
  <c r="AJ153" i="24"/>
  <c r="AG262" i="24"/>
  <c r="AG248" i="24"/>
  <c r="AN248" i="24" s="1"/>
  <c r="AG191" i="24"/>
  <c r="AJ289" i="24"/>
  <c r="AT289" i="24" s="1"/>
  <c r="AJ262" i="24"/>
  <c r="AT262" i="24" s="1"/>
  <c r="AG270" i="24"/>
  <c r="AN270" i="24" s="1"/>
  <c r="CB270" i="24" s="1"/>
  <c r="AF281" i="24"/>
  <c r="AN281" i="24" s="1"/>
  <c r="AG193" i="24"/>
  <c r="AG255" i="24"/>
  <c r="AK255" i="24" s="1"/>
  <c r="AF193" i="24"/>
  <c r="AJ79" i="24"/>
  <c r="AJ201" i="24"/>
  <c r="AJ172" i="24"/>
  <c r="AJ261" i="24"/>
  <c r="AT261" i="24" s="1"/>
  <c r="AJ187" i="24"/>
  <c r="AJ298" i="24"/>
  <c r="AT298" i="24" s="1"/>
  <c r="AG217" i="24"/>
  <c r="AK217" i="24" s="1"/>
  <c r="AJ96" i="24"/>
  <c r="AG244" i="24"/>
  <c r="AN244" i="24" s="1"/>
  <c r="CB244" i="24" s="1"/>
  <c r="AJ157" i="24"/>
  <c r="AJ283" i="24"/>
  <c r="AT283" i="24" s="1"/>
  <c r="AJ208" i="24"/>
  <c r="AJ210" i="24"/>
  <c r="AG312" i="24"/>
  <c r="AG132" i="24"/>
  <c r="AV101" i="24"/>
  <c r="AT101" i="24"/>
  <c r="BA101" i="24" s="1"/>
  <c r="AV91" i="24"/>
  <c r="AT91" i="24"/>
  <c r="BA91" i="24" s="1"/>
  <c r="AJ181" i="24"/>
  <c r="AJ92" i="24"/>
  <c r="AF289" i="24"/>
  <c r="AG171" i="24"/>
  <c r="AN171" i="24" s="1"/>
  <c r="AX171" i="24" s="1"/>
  <c r="AG311" i="24"/>
  <c r="AK311" i="24" s="1"/>
  <c r="AG226" i="24"/>
  <c r="AK226" i="24" s="1"/>
  <c r="AJ97" i="24"/>
  <c r="AJ312" i="24"/>
  <c r="AT312" i="24" s="1"/>
  <c r="AJ169" i="24"/>
  <c r="AG147" i="24"/>
  <c r="AJ257" i="24"/>
  <c r="AT257" i="24" s="1"/>
  <c r="AF147" i="24"/>
  <c r="AF132" i="24"/>
  <c r="AJ155" i="24"/>
  <c r="AG242" i="24"/>
  <c r="AG130" i="24"/>
  <c r="AK130" i="24" s="1"/>
  <c r="AJ270" i="24"/>
  <c r="AT270" i="24" s="1"/>
  <c r="AJ282" i="24"/>
  <c r="AT282" i="24" s="1"/>
  <c r="AG158" i="24"/>
  <c r="AN158" i="24" s="1"/>
  <c r="BT158" i="24" s="1"/>
  <c r="AG153" i="24"/>
  <c r="AN153" i="24" s="1"/>
  <c r="AG282" i="24"/>
  <c r="AN282" i="24" s="1"/>
  <c r="CB282" i="24" s="1"/>
  <c r="AG269" i="24"/>
  <c r="AG265" i="24"/>
  <c r="AK265" i="24" s="1"/>
  <c r="AG146" i="24"/>
  <c r="AK146" i="24" s="1"/>
  <c r="AF260" i="24"/>
  <c r="AG257" i="24"/>
  <c r="AN257" i="24" s="1"/>
  <c r="AG267" i="24"/>
  <c r="AN267" i="24" s="1"/>
  <c r="AG176" i="24"/>
  <c r="AK176" i="24" s="1"/>
  <c r="AG290" i="24"/>
  <c r="AN290" i="24" s="1"/>
  <c r="CB290" i="24" s="1"/>
  <c r="AG291" i="24"/>
  <c r="AK291" i="24" s="1"/>
  <c r="AG261" i="24"/>
  <c r="AN261" i="24" s="1"/>
  <c r="AG198" i="24"/>
  <c r="AK198" i="24" s="1"/>
  <c r="AG114" i="24"/>
  <c r="AF191" i="24"/>
  <c r="AG166" i="24"/>
  <c r="AG117" i="24"/>
  <c r="AK117" i="24" s="1"/>
  <c r="AF237" i="24"/>
  <c r="AK237" i="24" s="1"/>
  <c r="AG195" i="24"/>
  <c r="AF278" i="24"/>
  <c r="AK278" i="24" s="1"/>
  <c r="AG308" i="24"/>
  <c r="AK308" i="24" s="1"/>
  <c r="AF114" i="24"/>
  <c r="AG232" i="24"/>
  <c r="AK232" i="24" s="1"/>
  <c r="AG122" i="24"/>
  <c r="AG299" i="24"/>
  <c r="AN299" i="24" s="1"/>
  <c r="AG298" i="24"/>
  <c r="AN298" i="24" s="1"/>
  <c r="CB298" i="24" s="1"/>
  <c r="AG231" i="24"/>
  <c r="AK231" i="24" s="1"/>
  <c r="AG185" i="24"/>
  <c r="AN185" i="24" s="1"/>
  <c r="BT185" i="24" s="1"/>
  <c r="AV85" i="24"/>
  <c r="AT85" i="24"/>
  <c r="BA85" i="24" s="1"/>
  <c r="AV86" i="24"/>
  <c r="AT86" i="24"/>
  <c r="BA86" i="24" s="1"/>
  <c r="AV74" i="24"/>
  <c r="AT74" i="24"/>
  <c r="BA74" i="24" s="1"/>
  <c r="AJ89" i="24"/>
  <c r="AF249" i="24"/>
  <c r="AN249" i="24" s="1"/>
  <c r="CB249" i="24" s="1"/>
  <c r="AG120" i="24"/>
  <c r="AN120" i="24" s="1"/>
  <c r="AX120" i="24" s="1"/>
  <c r="AG133" i="24"/>
  <c r="AK133" i="24" s="1"/>
  <c r="AT83" i="24"/>
  <c r="BA83" i="24" s="1"/>
  <c r="AG151" i="24"/>
  <c r="AN151" i="24" s="1"/>
  <c r="BH151" i="24" s="1"/>
  <c r="AG143" i="24"/>
  <c r="AN143" i="24" s="1"/>
  <c r="BT143" i="24" s="1"/>
  <c r="AT73" i="24"/>
  <c r="BA73" i="24" s="1"/>
  <c r="AJ63" i="24"/>
  <c r="AJ82" i="24"/>
  <c r="AJ72" i="24"/>
  <c r="AJ148" i="24"/>
  <c r="AJ46" i="24"/>
  <c r="AG168" i="24"/>
  <c r="AG174" i="24"/>
  <c r="AG189" i="24"/>
  <c r="AG139" i="24"/>
  <c r="AN139" i="24" s="1"/>
  <c r="BS139" i="24" s="1"/>
  <c r="AJ68" i="24"/>
  <c r="AG225" i="24"/>
  <c r="AG150" i="24"/>
  <c r="AK150" i="24" s="1"/>
  <c r="AG156" i="24"/>
  <c r="AK156" i="24" s="1"/>
  <c r="AG204" i="24"/>
  <c r="AK204" i="24" s="1"/>
  <c r="AF238" i="24"/>
  <c r="AK238" i="24" s="1"/>
  <c r="AF225" i="24"/>
  <c r="AF166" i="24"/>
  <c r="AG263" i="24"/>
  <c r="AF263" i="24"/>
  <c r="AG144" i="24"/>
  <c r="AN144" i="24" s="1"/>
  <c r="AX144" i="24" s="1"/>
  <c r="AG252" i="24"/>
  <c r="AN252" i="24" s="1"/>
  <c r="CB252" i="24" s="1"/>
  <c r="AF189" i="24"/>
  <c r="AJ306" i="24"/>
  <c r="AT306" i="24" s="1"/>
  <c r="AF168" i="24"/>
  <c r="AJ276" i="24"/>
  <c r="AT276" i="24" s="1"/>
  <c r="AJ54" i="24"/>
  <c r="AV56" i="24"/>
  <c r="AT56" i="24"/>
  <c r="BA56" i="24" s="1"/>
  <c r="AG276" i="24"/>
  <c r="AN276" i="24" s="1"/>
  <c r="AJ59" i="24"/>
  <c r="AJ51" i="24"/>
  <c r="AJ136" i="24"/>
  <c r="AJ64" i="24"/>
  <c r="AJ225" i="24"/>
  <c r="AT225" i="24" s="1"/>
  <c r="AF313" i="24"/>
  <c r="AN313" i="24" s="1"/>
  <c r="CB313" i="24" s="1"/>
  <c r="AF246" i="24"/>
  <c r="AN246" i="24" s="1"/>
  <c r="CB246" i="24" s="1"/>
  <c r="AF295" i="24"/>
  <c r="AK295" i="24" s="1"/>
  <c r="AF174" i="24"/>
  <c r="AG296" i="24"/>
  <c r="AK296" i="24" s="1"/>
  <c r="AG25" i="24"/>
  <c r="AG89" i="24"/>
  <c r="AN89" i="24" s="1"/>
  <c r="AG284" i="24"/>
  <c r="AK284" i="24" s="1"/>
  <c r="AG209" i="24"/>
  <c r="AK209" i="24" s="1"/>
  <c r="AF242" i="24"/>
  <c r="AF269" i="24"/>
  <c r="AJ40" i="24"/>
  <c r="AG306" i="24"/>
  <c r="AK306" i="24" s="1"/>
  <c r="AG113" i="24"/>
  <c r="AN113" i="24" s="1"/>
  <c r="AJ41" i="24"/>
  <c r="AG179" i="24"/>
  <c r="AN179" i="24" s="1"/>
  <c r="BS179" i="24" s="1"/>
  <c r="AF78" i="24"/>
  <c r="AK78" i="24" s="1"/>
  <c r="AG157" i="24"/>
  <c r="AG101" i="24"/>
  <c r="AK101" i="24" s="1"/>
  <c r="AF128" i="24"/>
  <c r="AK128" i="24" s="1"/>
  <c r="AG112" i="24"/>
  <c r="AG181" i="24"/>
  <c r="AJ112" i="24"/>
  <c r="AG10" i="24"/>
  <c r="AK10" i="24" s="1"/>
  <c r="AG92" i="24"/>
  <c r="AN92" i="24" s="1"/>
  <c r="AG208" i="24"/>
  <c r="AK208" i="24" s="1"/>
  <c r="AG196" i="24"/>
  <c r="AF183" i="24"/>
  <c r="AN183" i="24" s="1"/>
  <c r="AX183" i="24" s="1"/>
  <c r="AF137" i="24"/>
  <c r="AN137" i="24" s="1"/>
  <c r="AF196" i="24"/>
  <c r="AG162" i="24"/>
  <c r="AG46" i="24"/>
  <c r="AN46" i="24" s="1"/>
  <c r="AF25" i="24"/>
  <c r="AG186" i="24"/>
  <c r="AK186" i="24" s="1"/>
  <c r="AF142" i="24"/>
  <c r="AN142" i="24" s="1"/>
  <c r="BS142" i="24" s="1"/>
  <c r="AG141" i="24"/>
  <c r="AK141" i="24" s="1"/>
  <c r="AT100" i="24"/>
  <c r="BA100" i="24" s="1"/>
  <c r="AG148" i="24"/>
  <c r="AN148" i="24" s="1"/>
  <c r="AG96" i="24"/>
  <c r="AN96" i="24" s="1"/>
  <c r="AG206" i="24"/>
  <c r="AK206" i="24" s="1"/>
  <c r="AG177" i="24"/>
  <c r="AN177" i="24" s="1"/>
  <c r="AG85" i="24"/>
  <c r="AN85" i="24" s="1"/>
  <c r="BT85" i="24" s="1"/>
  <c r="AG51" i="24"/>
  <c r="AG95" i="24"/>
  <c r="AK95" i="24" s="1"/>
  <c r="AG203" i="24"/>
  <c r="AK203" i="24" s="1"/>
  <c r="AT96" i="24"/>
  <c r="BA96" i="24" s="1"/>
  <c r="AG14" i="24"/>
  <c r="AK14" i="24" s="1"/>
  <c r="AG119" i="24"/>
  <c r="AK119" i="24" s="1"/>
  <c r="AJ122" i="24"/>
  <c r="AJ18" i="24"/>
  <c r="AG167" i="24"/>
  <c r="AG18" i="24"/>
  <c r="AN18" i="24" s="1"/>
  <c r="BI18" i="24" s="1"/>
  <c r="AG54" i="24"/>
  <c r="AN54" i="24" s="1"/>
  <c r="CB54" i="24" s="1"/>
  <c r="AF170" i="24"/>
  <c r="AK170" i="24" s="1"/>
  <c r="AT105" i="24"/>
  <c r="BA105" i="24" s="1"/>
  <c r="AG23" i="24"/>
  <c r="AG159" i="24"/>
  <c r="AG105" i="24"/>
  <c r="AK105" i="24" s="1"/>
  <c r="AG145" i="24"/>
  <c r="AN145" i="24" s="1"/>
  <c r="BS145" i="24" s="1"/>
  <c r="AG36" i="24"/>
  <c r="AN36" i="24" s="1"/>
  <c r="BT36" i="24" s="1"/>
  <c r="AF122" i="24"/>
  <c r="AF112" i="24"/>
  <c r="AG184" i="24"/>
  <c r="AK184" i="24" s="1"/>
  <c r="AG187" i="24"/>
  <c r="AN187" i="24" s="1"/>
  <c r="AJ21" i="24"/>
  <c r="AJ31" i="24"/>
  <c r="AG199" i="24"/>
  <c r="AK199" i="24" s="1"/>
  <c r="AI13" i="24"/>
  <c r="AJ13" i="24" s="1"/>
  <c r="AG100" i="24"/>
  <c r="AN100" i="24" s="1"/>
  <c r="AX100" i="24" s="1"/>
  <c r="AF56" i="24"/>
  <c r="AN56" i="24" s="1"/>
  <c r="AX56" i="24" s="1"/>
  <c r="AG27" i="24"/>
  <c r="AK27" i="24" s="1"/>
  <c r="AG125" i="24"/>
  <c r="AN125" i="24" s="1"/>
  <c r="BH125" i="24" s="1"/>
  <c r="AG192" i="24"/>
  <c r="AK192" i="24" s="1"/>
  <c r="AF159" i="24"/>
  <c r="AG205" i="24"/>
  <c r="AK205" i="24" s="1"/>
  <c r="AF167" i="24"/>
  <c r="AT87" i="24"/>
  <c r="BA87" i="24" s="1"/>
  <c r="AF23" i="24"/>
  <c r="AF83" i="24"/>
  <c r="AN83" i="24" s="1"/>
  <c r="AX83" i="24" s="1"/>
  <c r="AG41" i="24"/>
  <c r="AF152" i="24"/>
  <c r="AG161" i="24"/>
  <c r="AK161" i="24" s="1"/>
  <c r="AG136" i="24"/>
  <c r="AJ19" i="24"/>
  <c r="AJ123" i="24"/>
  <c r="AF73" i="24"/>
  <c r="AK73" i="24" s="1"/>
  <c r="AG207" i="24"/>
  <c r="AG210" i="24"/>
  <c r="AG134" i="24"/>
  <c r="AK134" i="24" s="1"/>
  <c r="AG188" i="24"/>
  <c r="AK188" i="24" s="1"/>
  <c r="AG163" i="24"/>
  <c r="AK163" i="24" s="1"/>
  <c r="AT60" i="24"/>
  <c r="BA60" i="24" s="1"/>
  <c r="AJ29" i="24"/>
  <c r="AG149" i="24"/>
  <c r="AK149" i="24" s="1"/>
  <c r="AG87" i="24"/>
  <c r="AK87" i="24" s="1"/>
  <c r="AF182" i="24"/>
  <c r="AK182" i="24" s="1"/>
  <c r="AF165" i="24"/>
  <c r="AK165" i="24" s="1"/>
  <c r="AF162" i="24"/>
  <c r="AG50" i="24"/>
  <c r="AK50" i="24" s="1"/>
  <c r="AG60" i="24"/>
  <c r="AK60" i="24" s="1"/>
  <c r="AG28" i="24"/>
  <c r="AN28" i="24" s="1"/>
  <c r="AG72" i="24"/>
  <c r="AN72" i="24" s="1"/>
  <c r="AG172" i="24"/>
  <c r="X35" i="24"/>
  <c r="AA35" i="24" s="1"/>
  <c r="AB35" i="24" s="1"/>
  <c r="AC35" i="24" s="1"/>
  <c r="AJ35" i="24" s="1"/>
  <c r="AJ28" i="24"/>
  <c r="AG42" i="24"/>
  <c r="AN42" i="24" s="1"/>
  <c r="BT42" i="24" s="1"/>
  <c r="AJ115" i="24"/>
  <c r="AG55" i="24"/>
  <c r="AJ116" i="24"/>
  <c r="X71" i="24"/>
  <c r="AA71" i="24" s="1"/>
  <c r="AB71" i="24" s="1"/>
  <c r="AC71" i="24" s="1"/>
  <c r="W11" i="24"/>
  <c r="Y11" i="24" s="1"/>
  <c r="AI43" i="24"/>
  <c r="AJ43" i="24" s="1"/>
  <c r="AG31" i="24"/>
  <c r="AN31" i="24" s="1"/>
  <c r="AG115" i="24"/>
  <c r="AG64" i="24"/>
  <c r="B126" i="2"/>
  <c r="AG97" i="24"/>
  <c r="AJ33" i="24"/>
  <c r="AG40" i="24"/>
  <c r="AN40" i="24" s="1"/>
  <c r="AG116" i="24"/>
  <c r="AN116" i="24" s="1"/>
  <c r="AG201" i="24"/>
  <c r="AN201" i="24" s="1"/>
  <c r="AG169" i="24"/>
  <c r="AG131" i="24"/>
  <c r="AK131" i="24" s="1"/>
  <c r="AG194" i="24"/>
  <c r="AK194" i="24" s="1"/>
  <c r="AG155" i="24"/>
  <c r="AE65" i="24"/>
  <c r="AF65" i="24" s="1"/>
  <c r="AG82" i="24"/>
  <c r="AN82" i="24" s="1"/>
  <c r="CB82" i="24" s="1"/>
  <c r="AG63" i="24"/>
  <c r="AN63" i="24" s="1"/>
  <c r="AF74" i="24"/>
  <c r="AN74" i="24" s="1"/>
  <c r="CB74" i="24" s="1"/>
  <c r="AG21" i="24"/>
  <c r="AN21" i="24" s="1"/>
  <c r="AF55" i="24"/>
  <c r="AG19" i="24"/>
  <c r="AN19" i="24" s="1"/>
  <c r="AG91" i="24"/>
  <c r="AK91" i="24" s="1"/>
  <c r="AG79" i="24"/>
  <c r="AN79" i="24" s="1"/>
  <c r="CB79" i="24" s="1"/>
  <c r="AF154" i="24"/>
  <c r="AN154" i="24" s="1"/>
  <c r="BH154" i="24" s="1"/>
  <c r="AG123" i="24"/>
  <c r="W99" i="24"/>
  <c r="Y99" i="24" s="1"/>
  <c r="AG33" i="24"/>
  <c r="AT42" i="24"/>
  <c r="BA42" i="24" s="1"/>
  <c r="AE22" i="24"/>
  <c r="AF22" i="24" s="1"/>
  <c r="AI8" i="24"/>
  <c r="AJ8" i="24" s="1"/>
  <c r="AF33" i="24"/>
  <c r="AE26" i="24"/>
  <c r="AF26" i="24" s="1"/>
  <c r="AG104" i="24"/>
  <c r="AN104" i="24" s="1"/>
  <c r="BT104" i="24" s="1"/>
  <c r="AG32" i="24"/>
  <c r="AN32" i="24" s="1"/>
  <c r="AX32" i="24" s="1"/>
  <c r="AG68" i="24"/>
  <c r="AN68" i="24" s="1"/>
  <c r="AG86" i="24"/>
  <c r="AK86" i="24" s="1"/>
  <c r="AG59" i="24"/>
  <c r="AN59" i="24" s="1"/>
  <c r="W88" i="24"/>
  <c r="Y88" i="24" s="1"/>
  <c r="AG29" i="24"/>
  <c r="AN29" i="24" s="1"/>
  <c r="AE43" i="24"/>
  <c r="AG43" i="24" s="1"/>
  <c r="AF70" i="24"/>
  <c r="AT70" i="24"/>
  <c r="BA70" i="24" s="1"/>
  <c r="AT69" i="24"/>
  <c r="BA69" i="24" s="1"/>
  <c r="AE13" i="24"/>
  <c r="AF13" i="24" s="1"/>
  <c r="W13" i="24"/>
  <c r="Y13" i="24" s="1"/>
  <c r="AI71" i="24"/>
  <c r="AG69" i="24"/>
  <c r="AK69" i="24" s="1"/>
  <c r="AG53" i="24"/>
  <c r="AN53" i="24" s="1"/>
  <c r="AX53" i="24" s="1"/>
  <c r="X49" i="24"/>
  <c r="AA49" i="24" s="1"/>
  <c r="AB49" i="24" s="1"/>
  <c r="AC49" i="24" s="1"/>
  <c r="AJ49" i="24" s="1"/>
  <c r="AE71" i="24"/>
  <c r="AF71" i="24" s="1"/>
  <c r="P8" i="24"/>
  <c r="P94" i="24"/>
  <c r="AE102" i="24"/>
  <c r="AF102" i="24" s="1"/>
  <c r="AP94" i="24"/>
  <c r="W61" i="24"/>
  <c r="Y61" i="24" s="1"/>
  <c r="P93" i="24"/>
  <c r="W65" i="24"/>
  <c r="Y65" i="24" s="1"/>
  <c r="W6" i="24"/>
  <c r="Y6" i="24" s="1"/>
  <c r="X22" i="24"/>
  <c r="AA22" i="24" s="1"/>
  <c r="AB22" i="24" s="1"/>
  <c r="AC22" i="24" s="1"/>
  <c r="AP49" i="24"/>
  <c r="P77" i="24"/>
  <c r="X37" i="24"/>
  <c r="AA37" i="24" s="1"/>
  <c r="AB37" i="24" s="1"/>
  <c r="AC37" i="24" s="1"/>
  <c r="AJ37" i="24" s="1"/>
  <c r="W43" i="24"/>
  <c r="Y43" i="24" s="1"/>
  <c r="X102" i="24"/>
  <c r="AA102" i="24" s="1"/>
  <c r="AB102" i="24" s="1"/>
  <c r="AC102" i="24" s="1"/>
  <c r="AJ102" i="24" s="1"/>
  <c r="P35" i="24"/>
  <c r="AP84" i="24"/>
  <c r="P49" i="24"/>
  <c r="P81" i="24"/>
  <c r="AI22" i="24"/>
  <c r="W102" i="24"/>
  <c r="Y102" i="24" s="1"/>
  <c r="X65" i="24"/>
  <c r="AA65" i="24" s="1"/>
  <c r="AB65" i="24" s="1"/>
  <c r="AC65" i="24" s="1"/>
  <c r="AJ65" i="24" s="1"/>
  <c r="Q38" i="24"/>
  <c r="R38" i="24" s="1"/>
  <c r="Q9" i="24"/>
  <c r="R9" i="24" s="1"/>
  <c r="Q15" i="24"/>
  <c r="R15" i="24" s="1"/>
  <c r="AP90" i="24"/>
  <c r="Q90" i="24"/>
  <c r="R90" i="24" s="1"/>
  <c r="Q47" i="24"/>
  <c r="R47" i="24" s="1"/>
  <c r="AP99" i="24"/>
  <c r="Q99" i="24"/>
  <c r="R99" i="24" s="1"/>
  <c r="Q76" i="24"/>
  <c r="R76" i="24" s="1"/>
  <c r="AP80" i="24"/>
  <c r="Q80" i="24"/>
  <c r="R80" i="24" s="1"/>
  <c r="AP6" i="24"/>
  <c r="Q6" i="24"/>
  <c r="R6" i="24" s="1"/>
  <c r="AP61" i="24"/>
  <c r="Q61" i="24"/>
  <c r="R61" i="24" s="1"/>
  <c r="AP75" i="24"/>
  <c r="Q75" i="24"/>
  <c r="R75" i="24" s="1"/>
  <c r="Q103" i="24"/>
  <c r="R103" i="24" s="1"/>
  <c r="AP44" i="24"/>
  <c r="Q44" i="24"/>
  <c r="R44" i="24" s="1"/>
  <c r="Q102" i="24"/>
  <c r="R102" i="24" s="1"/>
  <c r="Q65" i="24"/>
  <c r="R65" i="24" s="1"/>
  <c r="P52" i="24"/>
  <c r="Q52" i="24"/>
  <c r="R52" i="24" s="1"/>
  <c r="AP22" i="24"/>
  <c r="Q22" i="24"/>
  <c r="R22" i="24" s="1"/>
  <c r="AP45" i="24"/>
  <c r="Q45" i="24"/>
  <c r="R45" i="24" s="1"/>
  <c r="P39" i="24"/>
  <c r="Q39" i="24"/>
  <c r="R39" i="24" s="1"/>
  <c r="Q37" i="24"/>
  <c r="R37" i="24" s="1"/>
  <c r="AP88" i="24"/>
  <c r="Q88" i="24"/>
  <c r="R88" i="24" s="1"/>
  <c r="AP67" i="24"/>
  <c r="Q67" i="24"/>
  <c r="R67" i="24" s="1"/>
  <c r="Q77" i="24"/>
  <c r="R77" i="24" s="1"/>
  <c r="Q17" i="24"/>
  <c r="R17" i="24" s="1"/>
  <c r="AP16" i="24"/>
  <c r="Q16" i="24"/>
  <c r="R16" i="24" s="1"/>
  <c r="Q7" i="24"/>
  <c r="R7" i="24" s="1"/>
  <c r="Q98" i="24"/>
  <c r="R98" i="24" s="1"/>
  <c r="P57" i="24"/>
  <c r="Q57" i="24"/>
  <c r="R57" i="24" s="1"/>
  <c r="Q58" i="24"/>
  <c r="R58" i="24" s="1"/>
  <c r="AP43" i="24"/>
  <c r="Q43" i="24"/>
  <c r="R43" i="24" s="1"/>
  <c r="P71" i="24"/>
  <c r="Q71" i="24"/>
  <c r="R71" i="24" s="1"/>
  <c r="P11" i="24"/>
  <c r="Q11" i="24"/>
  <c r="R11" i="24" s="1"/>
  <c r="AP12" i="24"/>
  <c r="Q12" i="24"/>
  <c r="R12" i="24" s="1"/>
  <c r="Q13" i="24"/>
  <c r="R13" i="24" s="1"/>
  <c r="P26" i="24"/>
  <c r="Q26" i="24"/>
  <c r="R26" i="24" s="1"/>
  <c r="AP62" i="24"/>
  <c r="Q62" i="24"/>
  <c r="R62" i="24" s="1"/>
  <c r="AP13" i="24"/>
  <c r="P98" i="24"/>
  <c r="AE93" i="24"/>
  <c r="AF93" i="24" s="1"/>
  <c r="W37" i="24"/>
  <c r="Y37" i="24" s="1"/>
  <c r="AI94" i="24"/>
  <c r="AE49" i="24"/>
  <c r="AF49" i="24" s="1"/>
  <c r="AP57" i="24"/>
  <c r="W94" i="24"/>
  <c r="Y94" i="24" s="1"/>
  <c r="P62" i="24"/>
  <c r="P13" i="24"/>
  <c r="P43" i="24"/>
  <c r="AI93" i="24"/>
  <c r="AE37" i="24"/>
  <c r="W8" i="24"/>
  <c r="Y8" i="24" s="1"/>
  <c r="X94" i="24"/>
  <c r="W49" i="24"/>
  <c r="Y49" i="24" s="1"/>
  <c r="P7" i="24"/>
  <c r="P58" i="24"/>
  <c r="X93" i="24"/>
  <c r="AA93" i="24" s="1"/>
  <c r="AB93" i="24" s="1"/>
  <c r="AC93" i="24" s="1"/>
  <c r="P12" i="24"/>
  <c r="AE8" i="24"/>
  <c r="P103" i="24"/>
  <c r="P102" i="24"/>
  <c r="BI5" i="24"/>
  <c r="P6" i="24"/>
  <c r="P75" i="24"/>
  <c r="AP65" i="24"/>
  <c r="P65" i="24"/>
  <c r="AE34" i="24"/>
  <c r="AF34" i="24" s="1"/>
  <c r="X99" i="24"/>
  <c r="AA99" i="24" s="1"/>
  <c r="AB99" i="24" s="1"/>
  <c r="AC99" i="24" s="1"/>
  <c r="AJ99" i="24" s="1"/>
  <c r="AI98" i="24"/>
  <c r="W98" i="24"/>
  <c r="Y98" i="24" s="1"/>
  <c r="AE98" i="24"/>
  <c r="X98" i="24"/>
  <c r="AA98" i="24" s="1"/>
  <c r="AB98" i="24" s="1"/>
  <c r="AC98" i="24" s="1"/>
  <c r="AE57" i="24"/>
  <c r="AI57" i="24"/>
  <c r="W57" i="24"/>
  <c r="Y57" i="24" s="1"/>
  <c r="X57" i="24"/>
  <c r="AA57" i="24" s="1"/>
  <c r="AB57" i="24" s="1"/>
  <c r="AC57" i="24" s="1"/>
  <c r="X58" i="24"/>
  <c r="AA58" i="24" s="1"/>
  <c r="AB58" i="24" s="1"/>
  <c r="AC58" i="24" s="1"/>
  <c r="AJ58" i="24" s="1"/>
  <c r="AE58" i="24"/>
  <c r="W58" i="24"/>
  <c r="Y58" i="24" s="1"/>
  <c r="X11" i="24"/>
  <c r="AA11" i="24" s="1"/>
  <c r="AB11" i="24" s="1"/>
  <c r="AC11" i="24" s="1"/>
  <c r="AJ11" i="24" s="1"/>
  <c r="AE11" i="24"/>
  <c r="AE12" i="24"/>
  <c r="AI12" i="24"/>
  <c r="X12" i="24"/>
  <c r="AA12" i="24" s="1"/>
  <c r="AB12" i="24" s="1"/>
  <c r="AC12" i="24" s="1"/>
  <c r="AP30" i="24"/>
  <c r="AI26" i="24"/>
  <c r="X26" i="24"/>
  <c r="AI62" i="24"/>
  <c r="W62" i="24"/>
  <c r="Y62" i="24" s="1"/>
  <c r="AE62" i="24"/>
  <c r="X62" i="24"/>
  <c r="AA62" i="24" s="1"/>
  <c r="AB62" i="24" s="1"/>
  <c r="AC62" i="24" s="1"/>
  <c r="AP20" i="24"/>
  <c r="AP48" i="24"/>
  <c r="AP34" i="24"/>
  <c r="W9" i="24"/>
  <c r="Y9" i="24" s="1"/>
  <c r="AI9" i="24"/>
  <c r="AE9" i="24"/>
  <c r="X9" i="24"/>
  <c r="AA9" i="24" s="1"/>
  <c r="AB9" i="24" s="1"/>
  <c r="AC9" i="24" s="1"/>
  <c r="AE90" i="24"/>
  <c r="X90" i="24"/>
  <c r="AA90" i="24" s="1"/>
  <c r="AB90" i="24" s="1"/>
  <c r="AC90" i="24" s="1"/>
  <c r="AI90" i="24"/>
  <c r="AE47" i="24"/>
  <c r="X47" i="24"/>
  <c r="AA47" i="24" s="1"/>
  <c r="AB47" i="24" s="1"/>
  <c r="AC47" i="24" s="1"/>
  <c r="AJ47" i="24" s="1"/>
  <c r="AE20" i="24"/>
  <c r="X20" i="24"/>
  <c r="AA20" i="24" s="1"/>
  <c r="AB20" i="24" s="1"/>
  <c r="AC20" i="24" s="1"/>
  <c r="AI20" i="24"/>
  <c r="P22" i="24"/>
  <c r="W20" i="24"/>
  <c r="Y20" i="24" s="1"/>
  <c r="W34" i="24"/>
  <c r="Y34" i="24" s="1"/>
  <c r="AE99" i="24"/>
  <c r="W47" i="24"/>
  <c r="Y47" i="24" s="1"/>
  <c r="AI61" i="24"/>
  <c r="AJ61" i="24" s="1"/>
  <c r="AE61" i="24"/>
  <c r="AF61" i="24" s="1"/>
  <c r="AI75" i="24"/>
  <c r="W75" i="24"/>
  <c r="Y75" i="24" s="1"/>
  <c r="AE75" i="24"/>
  <c r="X75" i="24"/>
  <c r="AA75" i="24" s="1"/>
  <c r="AB75" i="24" s="1"/>
  <c r="AC75" i="24" s="1"/>
  <c r="AI103" i="24"/>
  <c r="AE103" i="24"/>
  <c r="W103" i="24"/>
  <c r="Y103" i="24" s="1"/>
  <c r="X103" i="24"/>
  <c r="AA103" i="24" s="1"/>
  <c r="AB103" i="24" s="1"/>
  <c r="AC103" i="24" s="1"/>
  <c r="AI44" i="24"/>
  <c r="X44" i="24"/>
  <c r="AA44" i="24" s="1"/>
  <c r="AB44" i="24" s="1"/>
  <c r="AC44" i="24" s="1"/>
  <c r="W44" i="24"/>
  <c r="Y44" i="24" s="1"/>
  <c r="R84" i="24"/>
  <c r="P84" i="24"/>
  <c r="AI52" i="24"/>
  <c r="X52" i="24"/>
  <c r="AA52" i="24" s="1"/>
  <c r="AB52" i="24" s="1"/>
  <c r="AC52" i="24" s="1"/>
  <c r="AE52" i="24"/>
  <c r="W52" i="24"/>
  <c r="Y52" i="24" s="1"/>
  <c r="W45" i="24"/>
  <c r="Y45" i="24" s="1"/>
  <c r="AI45" i="24"/>
  <c r="AE45" i="24"/>
  <c r="X45" i="24"/>
  <c r="AA45" i="24" s="1"/>
  <c r="AB45" i="24" s="1"/>
  <c r="AC45" i="24" s="1"/>
  <c r="AP8" i="24"/>
  <c r="AP81" i="24"/>
  <c r="AP35" i="24"/>
  <c r="AP93" i="24"/>
  <c r="AP103" i="24"/>
  <c r="AE30" i="24"/>
  <c r="W30" i="24"/>
  <c r="Y30" i="24" s="1"/>
  <c r="X30" i="24"/>
  <c r="AA30" i="24" s="1"/>
  <c r="AB30" i="24" s="1"/>
  <c r="AC30" i="24" s="1"/>
  <c r="AI30" i="24"/>
  <c r="W38" i="24"/>
  <c r="Y38" i="24" s="1"/>
  <c r="AI38" i="24"/>
  <c r="AE38" i="24"/>
  <c r="X38" i="24"/>
  <c r="AA38" i="24" s="1"/>
  <c r="AB38" i="24" s="1"/>
  <c r="AC38" i="24" s="1"/>
  <c r="W15" i="24"/>
  <c r="Y15" i="24" s="1"/>
  <c r="X15" i="24"/>
  <c r="AA15" i="24" s="1"/>
  <c r="AB15" i="24" s="1"/>
  <c r="AC15" i="24" s="1"/>
  <c r="AJ15" i="24" s="1"/>
  <c r="AP52" i="24"/>
  <c r="AE24" i="24"/>
  <c r="W24" i="24"/>
  <c r="Y24" i="24" s="1"/>
  <c r="X24" i="24"/>
  <c r="AA24" i="24" s="1"/>
  <c r="AB24" i="24" s="1"/>
  <c r="AC24" i="24" s="1"/>
  <c r="AI24" i="24"/>
  <c r="AI48" i="24"/>
  <c r="X48" i="24"/>
  <c r="AA48" i="24" s="1"/>
  <c r="AB48" i="24" s="1"/>
  <c r="AC48" i="24" s="1"/>
  <c r="AE66" i="24"/>
  <c r="AI66" i="24"/>
  <c r="X66" i="24"/>
  <c r="AA66" i="24" s="1"/>
  <c r="AB66" i="24" s="1"/>
  <c r="AC66" i="24" s="1"/>
  <c r="W66" i="24"/>
  <c r="Y66" i="24" s="1"/>
  <c r="X76" i="24"/>
  <c r="AA76" i="24" s="1"/>
  <c r="AB76" i="24" s="1"/>
  <c r="AC76" i="24" s="1"/>
  <c r="W76" i="24"/>
  <c r="Y76" i="24" s="1"/>
  <c r="AE76" i="24"/>
  <c r="AI76" i="24"/>
  <c r="W80" i="24"/>
  <c r="Y80" i="24" s="1"/>
  <c r="AE80" i="24"/>
  <c r="AI80" i="24"/>
  <c r="X80" i="24"/>
  <c r="AA80" i="24" s="1"/>
  <c r="AB80" i="24" s="1"/>
  <c r="AC80" i="24" s="1"/>
  <c r="AF44" i="24"/>
  <c r="AT53" i="24"/>
  <c r="BA53" i="24" s="1"/>
  <c r="AP102" i="24"/>
  <c r="W90" i="24"/>
  <c r="Y90" i="24" s="1"/>
  <c r="P45" i="24"/>
  <c r="AE15" i="24"/>
  <c r="AF15" i="24" s="1"/>
  <c r="P44" i="24"/>
  <c r="X34" i="24"/>
  <c r="AA34" i="24" s="1"/>
  <c r="AB34" i="24" s="1"/>
  <c r="AC34" i="24" s="1"/>
  <c r="AJ34" i="24" s="1"/>
  <c r="AE48" i="24"/>
  <c r="AF48" i="24" s="1"/>
  <c r="AP71" i="24"/>
  <c r="AP11" i="24"/>
  <c r="AE39" i="24"/>
  <c r="X39" i="24"/>
  <c r="AA39" i="24" s="1"/>
  <c r="AB39" i="24" s="1"/>
  <c r="AC39" i="24" s="1"/>
  <c r="AI39" i="24"/>
  <c r="W39" i="24"/>
  <c r="Y39" i="24" s="1"/>
  <c r="AI84" i="24"/>
  <c r="X84" i="24"/>
  <c r="AA84" i="24" s="1"/>
  <c r="AB84" i="24" s="1"/>
  <c r="AC84" i="24" s="1"/>
  <c r="AE84" i="24"/>
  <c r="W84" i="24"/>
  <c r="Y84" i="24" s="1"/>
  <c r="AP26" i="24"/>
  <c r="AI88" i="24"/>
  <c r="AJ88" i="24" s="1"/>
  <c r="AE88" i="24"/>
  <c r="AF88" i="24" s="1"/>
  <c r="AE67" i="24"/>
  <c r="AI67" i="24"/>
  <c r="X67" i="24"/>
  <c r="AA67" i="24" s="1"/>
  <c r="AB67" i="24" s="1"/>
  <c r="AC67" i="24" s="1"/>
  <c r="W67" i="24"/>
  <c r="Y67" i="24" s="1"/>
  <c r="X77" i="24"/>
  <c r="AA77" i="24" s="1"/>
  <c r="AB77" i="24" s="1"/>
  <c r="AC77" i="24" s="1"/>
  <c r="AI77" i="24"/>
  <c r="AE77" i="24"/>
  <c r="W77" i="24"/>
  <c r="Y77" i="24" s="1"/>
  <c r="AI17" i="24"/>
  <c r="X17" i="24"/>
  <c r="AA17" i="24" s="1"/>
  <c r="AB17" i="24" s="1"/>
  <c r="AC17" i="24" s="1"/>
  <c r="AE17" i="24"/>
  <c r="W17" i="24"/>
  <c r="Y17" i="24" s="1"/>
  <c r="AE16" i="24"/>
  <c r="X16" i="24"/>
  <c r="AA16" i="24" s="1"/>
  <c r="AB16" i="24" s="1"/>
  <c r="AC16" i="24" s="1"/>
  <c r="AI16" i="24"/>
  <c r="AI81" i="24"/>
  <c r="X81" i="24"/>
  <c r="AA81" i="24" s="1"/>
  <c r="AB81" i="24" s="1"/>
  <c r="AC81" i="24" s="1"/>
  <c r="W81" i="24"/>
  <c r="Y81" i="24" s="1"/>
  <c r="W35" i="24"/>
  <c r="Y35" i="24" s="1"/>
  <c r="AE35" i="24"/>
  <c r="AF35" i="24" s="1"/>
  <c r="W7" i="24"/>
  <c r="Y7" i="24" s="1"/>
  <c r="X7" i="24"/>
  <c r="AA7" i="24" s="1"/>
  <c r="AB7" i="24" s="1"/>
  <c r="AC7" i="24" s="1"/>
  <c r="AI7" i="24"/>
  <c r="AE7" i="24"/>
  <c r="AI6" i="24"/>
  <c r="AJ6" i="24" s="1"/>
  <c r="AE6" i="24"/>
  <c r="AT50" i="24"/>
  <c r="BA50" i="24" s="1"/>
  <c r="AT32" i="24"/>
  <c r="BA32" i="24" s="1"/>
  <c r="AT23" i="24"/>
  <c r="BA23" i="24" s="1"/>
  <c r="AT25" i="24"/>
  <c r="BA25" i="24" s="1"/>
  <c r="AT14" i="24"/>
  <c r="BA14" i="24" s="1"/>
  <c r="AX5" i="24"/>
  <c r="AT5" i="24"/>
  <c r="BA5" i="24" s="1"/>
  <c r="AF110" i="24"/>
  <c r="AK110" i="24" s="1"/>
  <c r="BJ5" i="24"/>
  <c r="AK5" i="24"/>
  <c r="AS5" i="24"/>
  <c r="AQ5" i="24"/>
  <c r="BH5" i="24"/>
  <c r="BS5" i="24"/>
  <c r="AF110" i="25"/>
  <c r="AJ110" i="25" s="1"/>
  <c r="Z5" i="25"/>
  <c r="AA5" i="25" s="1"/>
  <c r="AB5" i="25" s="1"/>
  <c r="AI5" i="25" s="1"/>
  <c r="AF5" i="25"/>
  <c r="AS40" i="25"/>
  <c r="AX40" i="25" s="1"/>
  <c r="AS13" i="25"/>
  <c r="AX13" i="25" s="1"/>
  <c r="AS29" i="25"/>
  <c r="AX29" i="25" s="1"/>
  <c r="AS44" i="25"/>
  <c r="AX44" i="25" s="1"/>
  <c r="AS14" i="25"/>
  <c r="AX14" i="25" s="1"/>
  <c r="AS36" i="25"/>
  <c r="AX36" i="25" s="1"/>
  <c r="AS9" i="25"/>
  <c r="AX9" i="25" s="1"/>
  <c r="AS47" i="25"/>
  <c r="AX47" i="25" s="1"/>
  <c r="AS22" i="25"/>
  <c r="AX22" i="25" s="1"/>
  <c r="AS88" i="25"/>
  <c r="AX88" i="25" s="1"/>
  <c r="AS79" i="25"/>
  <c r="AX79" i="25" s="1"/>
  <c r="AS20" i="25"/>
  <c r="AX20" i="25" s="1"/>
  <c r="AS96" i="25"/>
  <c r="AX96" i="25" s="1"/>
  <c r="AS62" i="25"/>
  <c r="AX62" i="25" s="1"/>
  <c r="AS86" i="25"/>
  <c r="AX86" i="25" s="1"/>
  <c r="AS93" i="25"/>
  <c r="AX93" i="25" s="1"/>
  <c r="AS61" i="25"/>
  <c r="AX61" i="25" s="1"/>
  <c r="AS70" i="25"/>
  <c r="AX70" i="25" s="1"/>
  <c r="AS26" i="25"/>
  <c r="AX26" i="25" s="1"/>
  <c r="AS38" i="25"/>
  <c r="AX38" i="25" s="1"/>
  <c r="AS24" i="25"/>
  <c r="AX24" i="25" s="1"/>
  <c r="AS104" i="25"/>
  <c r="AX104" i="25" s="1"/>
  <c r="AS27" i="25"/>
  <c r="AX27" i="25" s="1"/>
  <c r="AS102" i="25"/>
  <c r="AX102" i="25" s="1"/>
  <c r="AS17" i="25"/>
  <c r="AX17" i="25" s="1"/>
  <c r="AS48" i="25"/>
  <c r="AX48" i="25" s="1"/>
  <c r="AS30" i="25"/>
  <c r="AX30" i="25" s="1"/>
  <c r="AS103" i="25"/>
  <c r="AX103" i="25" s="1"/>
  <c r="AS28" i="25"/>
  <c r="AX28" i="25" s="1"/>
  <c r="AS105" i="25"/>
  <c r="AX105" i="25" s="1"/>
  <c r="B104" i="2" s="1"/>
  <c r="AS81" i="25"/>
  <c r="AX81" i="25" s="1"/>
  <c r="AS11" i="25"/>
  <c r="AX11" i="25" s="1"/>
  <c r="AS91" i="25"/>
  <c r="AX91" i="25" s="1"/>
  <c r="AS49" i="25"/>
  <c r="AX49" i="25" s="1"/>
  <c r="AS6" i="25"/>
  <c r="AX6" i="25" s="1"/>
  <c r="AS56" i="25"/>
  <c r="AX56" i="25" s="1"/>
  <c r="AS76" i="25"/>
  <c r="AX76" i="25" s="1"/>
  <c r="AS92" i="25"/>
  <c r="AX92" i="25" s="1"/>
  <c r="AS78" i="25"/>
  <c r="AX78" i="25" s="1"/>
  <c r="AS94" i="25"/>
  <c r="AX94" i="25" s="1"/>
  <c r="AS41" i="25"/>
  <c r="AX41" i="25" s="1"/>
  <c r="AS21" i="25"/>
  <c r="AX21" i="25" s="1"/>
  <c r="AS8" i="25"/>
  <c r="AX8" i="25" s="1"/>
  <c r="AS67" i="25"/>
  <c r="AX67" i="25" s="1"/>
  <c r="AS42" i="25"/>
  <c r="AX42" i="25" s="1"/>
  <c r="AS101" i="25"/>
  <c r="AX101" i="25" s="1"/>
  <c r="AS51" i="25"/>
  <c r="AX51" i="25" s="1"/>
  <c r="AS64" i="25"/>
  <c r="AX64" i="25" s="1"/>
  <c r="AS12" i="25"/>
  <c r="AX12" i="25" s="1"/>
  <c r="AS87" i="25"/>
  <c r="AX87" i="25" s="1"/>
  <c r="AS37" i="25"/>
  <c r="AX37" i="25" s="1"/>
  <c r="AS82" i="25"/>
  <c r="AX82" i="25" s="1"/>
  <c r="AS54" i="25"/>
  <c r="AX54" i="25" s="1"/>
  <c r="AS68" i="25"/>
  <c r="AX68" i="25" s="1"/>
  <c r="AS52" i="25"/>
  <c r="AX52" i="25" s="1"/>
  <c r="AS63" i="25"/>
  <c r="AX63" i="25" s="1"/>
  <c r="AS35" i="25"/>
  <c r="AX35" i="25" s="1"/>
  <c r="AS53" i="25"/>
  <c r="AX53" i="25" s="1"/>
  <c r="AS83" i="25"/>
  <c r="AX83" i="25" s="1"/>
  <c r="AS59" i="25"/>
  <c r="AX59" i="25" s="1"/>
  <c r="AS100" i="25"/>
  <c r="AX100" i="25" s="1"/>
  <c r="AS15" i="25"/>
  <c r="AX15" i="25" s="1"/>
  <c r="AS71" i="25"/>
  <c r="AX71" i="25" s="1"/>
  <c r="AS97" i="25"/>
  <c r="AX97" i="25" s="1"/>
  <c r="AS31" i="25"/>
  <c r="AX31" i="25" s="1"/>
  <c r="AS69" i="25"/>
  <c r="AX69" i="25" s="1"/>
  <c r="AJ216" i="25"/>
  <c r="AM216" i="25"/>
  <c r="AJ265" i="25"/>
  <c r="AM265" i="25"/>
  <c r="CB265" i="25" s="1"/>
  <c r="AM275" i="25"/>
  <c r="CB275" i="25" s="1"/>
  <c r="AJ275" i="25"/>
  <c r="AJ189" i="25"/>
  <c r="AM189" i="25"/>
  <c r="BT189" i="25" s="1"/>
  <c r="AJ224" i="25"/>
  <c r="AM224" i="25"/>
  <c r="CB224" i="25" s="1"/>
  <c r="AJ259" i="25"/>
  <c r="AM259" i="25"/>
  <c r="AJ156" i="25"/>
  <c r="AM156" i="25"/>
  <c r="BT156" i="25" s="1"/>
  <c r="AM162" i="25"/>
  <c r="BT162" i="25" s="1"/>
  <c r="AJ162" i="25"/>
  <c r="AM174" i="25"/>
  <c r="BT174" i="25" s="1"/>
  <c r="AJ174" i="25"/>
  <c r="AJ31" i="25"/>
  <c r="AM31" i="25"/>
  <c r="BT31" i="25" s="1"/>
  <c r="AJ116" i="25"/>
  <c r="AM116" i="25"/>
  <c r="BT116" i="25" s="1"/>
  <c r="AS10" i="25"/>
  <c r="AX10" i="25" s="1"/>
  <c r="AJ59" i="25"/>
  <c r="AM59" i="25"/>
  <c r="CB59" i="25" s="1"/>
  <c r="AJ293" i="25"/>
  <c r="AM293" i="25"/>
  <c r="CB293" i="25" s="1"/>
  <c r="AM138" i="25"/>
  <c r="BT138" i="25" s="1"/>
  <c r="AJ138" i="25"/>
  <c r="AJ127" i="25"/>
  <c r="AM127" i="25"/>
  <c r="BT127" i="25" s="1"/>
  <c r="AJ99" i="25"/>
  <c r="AM99" i="25"/>
  <c r="CB99" i="25" s="1"/>
  <c r="AJ26" i="25"/>
  <c r="AM26" i="25"/>
  <c r="CB26" i="25" s="1"/>
  <c r="AM136" i="25"/>
  <c r="BT136" i="25" s="1"/>
  <c r="AJ136" i="25"/>
  <c r="AM98" i="25"/>
  <c r="BT98" i="25" s="1"/>
  <c r="AJ98" i="25"/>
  <c r="AM254" i="25"/>
  <c r="AJ254" i="25"/>
  <c r="AJ173" i="25"/>
  <c r="AM173" i="25"/>
  <c r="CB173" i="25" s="1"/>
  <c r="AS60" i="25"/>
  <c r="AX60" i="25" s="1"/>
  <c r="AM311" i="25"/>
  <c r="CB311" i="25" s="1"/>
  <c r="AJ311" i="25"/>
  <c r="AM159" i="25"/>
  <c r="BT159" i="25" s="1"/>
  <c r="AJ159" i="25"/>
  <c r="AM103" i="25"/>
  <c r="CB103" i="25" s="1"/>
  <c r="AJ103" i="25"/>
  <c r="AJ85" i="25"/>
  <c r="AM85" i="25"/>
  <c r="BS85" i="25" s="1"/>
  <c r="AJ269" i="25"/>
  <c r="AM269" i="25"/>
  <c r="CB269" i="25" s="1"/>
  <c r="AS57" i="25"/>
  <c r="AX57" i="25" s="1"/>
  <c r="AJ157" i="25"/>
  <c r="AM157" i="25"/>
  <c r="BT157" i="25" s="1"/>
  <c r="AJ242" i="25"/>
  <c r="AM242" i="25"/>
  <c r="CB242" i="25" s="1"/>
  <c r="AM102" i="25"/>
  <c r="CB102" i="25" s="1"/>
  <c r="AJ102" i="25"/>
  <c r="AM93" i="25"/>
  <c r="CB93" i="25" s="1"/>
  <c r="AJ93" i="25"/>
  <c r="AM87" i="25"/>
  <c r="CB87" i="25" s="1"/>
  <c r="AJ87" i="25"/>
  <c r="AJ135" i="25"/>
  <c r="AM135" i="25"/>
  <c r="AM309" i="25"/>
  <c r="CB309" i="25" s="1"/>
  <c r="AJ309" i="25"/>
  <c r="AJ310" i="25"/>
  <c r="AM310" i="25"/>
  <c r="CB310" i="25" s="1"/>
  <c r="AJ15" i="25"/>
  <c r="AM15" i="25"/>
  <c r="BT15" i="25" s="1"/>
  <c r="AM14" i="25"/>
  <c r="CB14" i="25" s="1"/>
  <c r="AJ14" i="25"/>
  <c r="AM257" i="25"/>
  <c r="AJ257" i="25"/>
  <c r="AJ153" i="25"/>
  <c r="AM153" i="25"/>
  <c r="BT153" i="25" s="1"/>
  <c r="AJ210" i="25"/>
  <c r="AM210" i="25"/>
  <c r="BT210" i="25" s="1"/>
  <c r="AS46" i="25"/>
  <c r="AX46" i="25" s="1"/>
  <c r="AM178" i="25"/>
  <c r="BT178" i="25" s="1"/>
  <c r="AJ178" i="25"/>
  <c r="AM57" i="25"/>
  <c r="BS57" i="25" s="1"/>
  <c r="AJ57" i="25"/>
  <c r="AJ272" i="25"/>
  <c r="AM272" i="25"/>
  <c r="CB272" i="25" s="1"/>
  <c r="AS23" i="25"/>
  <c r="AX23" i="25" s="1"/>
  <c r="AM56" i="25"/>
  <c r="BT56" i="25" s="1"/>
  <c r="AJ56" i="25"/>
  <c r="AS58" i="25"/>
  <c r="AX58" i="25" s="1"/>
  <c r="AJ113" i="25"/>
  <c r="AM113" i="25"/>
  <c r="BT113" i="25" s="1"/>
  <c r="AM155" i="25"/>
  <c r="BT155" i="25" s="1"/>
  <c r="AJ155" i="25"/>
  <c r="AJ180" i="25"/>
  <c r="AM180" i="25"/>
  <c r="BT180" i="25" s="1"/>
  <c r="AS90" i="25"/>
  <c r="AX90" i="25" s="1"/>
  <c r="AM81" i="25"/>
  <c r="CB81" i="25" s="1"/>
  <c r="AJ81" i="25"/>
  <c r="AM139" i="25"/>
  <c r="BT139" i="25" s="1"/>
  <c r="AJ139" i="25"/>
  <c r="AS33" i="25"/>
  <c r="AX33" i="25" s="1"/>
  <c r="AM17" i="25"/>
  <c r="CB17" i="25" s="1"/>
  <c r="AJ17" i="25"/>
  <c r="AM264" i="25"/>
  <c r="CB264" i="25" s="1"/>
  <c r="AJ264" i="25"/>
  <c r="AM66" i="25"/>
  <c r="BS66" i="25" s="1"/>
  <c r="AJ66" i="25"/>
  <c r="AM286" i="25"/>
  <c r="CB286" i="25" s="1"/>
  <c r="AJ286" i="25"/>
  <c r="AJ131" i="25"/>
  <c r="AM131" i="25"/>
  <c r="BT131" i="25" s="1"/>
  <c r="AJ143" i="25"/>
  <c r="AM143" i="25"/>
  <c r="BT143" i="25" s="1"/>
  <c r="AM250" i="25"/>
  <c r="AJ250" i="25"/>
  <c r="AJ244" i="25"/>
  <c r="AM244" i="25"/>
  <c r="CB244" i="25" s="1"/>
  <c r="AM78" i="25"/>
  <c r="CB78" i="25" s="1"/>
  <c r="AJ78" i="25"/>
  <c r="AM35" i="25"/>
  <c r="BT35" i="25" s="1"/>
  <c r="AJ35" i="25"/>
  <c r="AM53" i="25"/>
  <c r="CB53" i="25" s="1"/>
  <c r="AJ53" i="25"/>
  <c r="AM74" i="25"/>
  <c r="BT74" i="25" s="1"/>
  <c r="AJ74" i="25"/>
  <c r="AM39" i="25"/>
  <c r="BT39" i="25" s="1"/>
  <c r="AJ39" i="25"/>
  <c r="AJ121" i="25"/>
  <c r="AM121" i="25"/>
  <c r="BT121" i="25" s="1"/>
  <c r="AJ170" i="25"/>
  <c r="AM170" i="25"/>
  <c r="BT170" i="25" s="1"/>
  <c r="AM20" i="25"/>
  <c r="CB20" i="25" s="1"/>
  <c r="AJ20" i="25"/>
  <c r="AM260" i="25"/>
  <c r="CB260" i="25" s="1"/>
  <c r="AJ260" i="25"/>
  <c r="AM22" i="25"/>
  <c r="BT22" i="25" s="1"/>
  <c r="AJ22" i="25"/>
  <c r="AM251" i="25"/>
  <c r="AJ251" i="25"/>
  <c r="AJ222" i="25"/>
  <c r="AM222" i="25"/>
  <c r="AJ196" i="25"/>
  <c r="AM196" i="25"/>
  <c r="BT196" i="25" s="1"/>
  <c r="AM16" i="25"/>
  <c r="BS16" i="25" s="1"/>
  <c r="AJ16" i="25"/>
  <c r="AM194" i="25"/>
  <c r="BT194" i="25" s="1"/>
  <c r="AJ194" i="25"/>
  <c r="AJ313" i="25"/>
  <c r="AM313" i="25"/>
  <c r="AJ166" i="25"/>
  <c r="AM166" i="25"/>
  <c r="BT166" i="25" s="1"/>
  <c r="AM41" i="25"/>
  <c r="BT41" i="25" s="1"/>
  <c r="AJ41" i="25"/>
  <c r="AM252" i="25"/>
  <c r="AJ252" i="25"/>
  <c r="AM182" i="25"/>
  <c r="BT182" i="25" s="1"/>
  <c r="AJ182" i="25"/>
  <c r="AJ273" i="25"/>
  <c r="AM273" i="25"/>
  <c r="CB273" i="25" s="1"/>
  <c r="AM55" i="25"/>
  <c r="BT55" i="25" s="1"/>
  <c r="AJ55" i="25"/>
  <c r="AJ233" i="25"/>
  <c r="AM233" i="25"/>
  <c r="CB233" i="25" s="1"/>
  <c r="AM38" i="25"/>
  <c r="CB38" i="25" s="1"/>
  <c r="AJ38" i="25"/>
  <c r="AS73" i="25"/>
  <c r="AX73" i="25" s="1"/>
  <c r="AS25" i="25"/>
  <c r="AX25" i="25" s="1"/>
  <c r="AS98" i="25"/>
  <c r="AX98" i="25" s="1"/>
  <c r="AJ64" i="25"/>
  <c r="AM64" i="25"/>
  <c r="CB64" i="25" s="1"/>
  <c r="AM245" i="25"/>
  <c r="AJ245" i="25"/>
  <c r="AM228" i="25"/>
  <c r="AJ228" i="25"/>
  <c r="AM295" i="25"/>
  <c r="CB295" i="25" s="1"/>
  <c r="AJ295" i="25"/>
  <c r="AM70" i="25"/>
  <c r="CB70" i="25" s="1"/>
  <c r="AJ70" i="25"/>
  <c r="AS43" i="25"/>
  <c r="AX43" i="25" s="1"/>
  <c r="AM217" i="25"/>
  <c r="CB217" i="25" s="1"/>
  <c r="AJ217" i="25"/>
  <c r="AS45" i="25"/>
  <c r="AX45" i="25" s="1"/>
  <c r="AM290" i="25"/>
  <c r="CB290" i="25" s="1"/>
  <c r="AJ290" i="25"/>
  <c r="AJ186" i="25"/>
  <c r="AM186" i="25"/>
  <c r="BT186" i="25" s="1"/>
  <c r="AJ282" i="25"/>
  <c r="AM282" i="25"/>
  <c r="CB282" i="25" s="1"/>
  <c r="AJ270" i="25"/>
  <c r="AM270" i="25"/>
  <c r="CB270" i="25" s="1"/>
  <c r="AJ51" i="25"/>
  <c r="AM51" i="25"/>
  <c r="CB51" i="25" s="1"/>
  <c r="AJ29" i="25"/>
  <c r="AM29" i="25"/>
  <c r="CB29" i="25" s="1"/>
  <c r="AJ7" i="25"/>
  <c r="AM7" i="25"/>
  <c r="BF7" i="25" s="1"/>
  <c r="AJ184" i="25"/>
  <c r="AM184" i="25"/>
  <c r="BT184" i="25" s="1"/>
  <c r="AJ112" i="25"/>
  <c r="AM112" i="25"/>
  <c r="BT112" i="25" s="1"/>
  <c r="AM158" i="25"/>
  <c r="BT158" i="25" s="1"/>
  <c r="AJ158" i="25"/>
  <c r="AM18" i="25"/>
  <c r="BF18" i="25" s="1"/>
  <c r="AJ18" i="25"/>
  <c r="AM34" i="25"/>
  <c r="BF34" i="25" s="1"/>
  <c r="AJ34" i="25"/>
  <c r="AJ95" i="25"/>
  <c r="AM95" i="25"/>
  <c r="BT95" i="25" s="1"/>
  <c r="AJ276" i="25"/>
  <c r="AM276" i="25"/>
  <c r="CB276" i="25" s="1"/>
  <c r="AJ171" i="25"/>
  <c r="AM171" i="25"/>
  <c r="BT171" i="25" s="1"/>
  <c r="AJ266" i="25"/>
  <c r="AM266" i="25"/>
  <c r="AM200" i="25"/>
  <c r="BT200" i="25" s="1"/>
  <c r="AJ200" i="25"/>
  <c r="AM152" i="25"/>
  <c r="BT152" i="25" s="1"/>
  <c r="AJ152" i="25"/>
  <c r="AJ89" i="25"/>
  <c r="AM89" i="25"/>
  <c r="AJ151" i="25"/>
  <c r="AM151" i="25"/>
  <c r="BT151" i="25" s="1"/>
  <c r="AS16" i="25"/>
  <c r="AX16" i="25" s="1"/>
  <c r="AJ314" i="25"/>
  <c r="AM314" i="25"/>
  <c r="CB314" i="25" s="1"/>
  <c r="AM75" i="25"/>
  <c r="BT75" i="25" s="1"/>
  <c r="AJ75" i="25"/>
  <c r="AJ165" i="25"/>
  <c r="AM165" i="25"/>
  <c r="BT165" i="25" s="1"/>
  <c r="AM150" i="25"/>
  <c r="BT150" i="25" s="1"/>
  <c r="AJ150" i="25"/>
  <c r="AM191" i="25"/>
  <c r="BT191" i="25" s="1"/>
  <c r="AJ191" i="25"/>
  <c r="AM287" i="25"/>
  <c r="CB287" i="25" s="1"/>
  <c r="AJ287" i="25"/>
  <c r="AM291" i="25"/>
  <c r="CB291" i="25" s="1"/>
  <c r="AJ291" i="25"/>
  <c r="AM84" i="25"/>
  <c r="BT84" i="25" s="1"/>
  <c r="AJ84" i="25"/>
  <c r="AM49" i="25"/>
  <c r="CB49" i="25" s="1"/>
  <c r="AJ49" i="25"/>
  <c r="AJ229" i="25"/>
  <c r="AM229" i="25"/>
  <c r="AM160" i="25"/>
  <c r="BT160" i="25" s="1"/>
  <c r="AJ160" i="25"/>
  <c r="AM128" i="25"/>
  <c r="BT128" i="25" s="1"/>
  <c r="AJ128" i="25"/>
  <c r="AJ126" i="25"/>
  <c r="AM126" i="25"/>
  <c r="BT126" i="25" s="1"/>
  <c r="AM241" i="25"/>
  <c r="CB241" i="25" s="1"/>
  <c r="AJ241" i="25"/>
  <c r="AJ28" i="25"/>
  <c r="AM28" i="25"/>
  <c r="BT28" i="25" s="1"/>
  <c r="AM208" i="25"/>
  <c r="BT208" i="25" s="1"/>
  <c r="AJ208" i="25"/>
  <c r="AJ149" i="25"/>
  <c r="AM149" i="25"/>
  <c r="BT149" i="25" s="1"/>
  <c r="AM117" i="25"/>
  <c r="BT117" i="25" s="1"/>
  <c r="AJ117" i="25"/>
  <c r="AS18" i="25"/>
  <c r="AX18" i="25" s="1"/>
  <c r="AJ72" i="25"/>
  <c r="AM72" i="25"/>
  <c r="BT72" i="25" s="1"/>
  <c r="AS34" i="25"/>
  <c r="AX34" i="25" s="1"/>
  <c r="AM71" i="25"/>
  <c r="BT71" i="25" s="1"/>
  <c r="AJ71" i="25"/>
  <c r="AM58" i="25"/>
  <c r="BT58" i="25" s="1"/>
  <c r="AJ58" i="25"/>
  <c r="AJ105" i="25"/>
  <c r="AM105" i="25"/>
  <c r="CB105" i="25" s="1"/>
  <c r="AM97" i="25"/>
  <c r="CB97" i="25" s="1"/>
  <c r="AJ97" i="25"/>
  <c r="AM277" i="25"/>
  <c r="CB277" i="25" s="1"/>
  <c r="AJ277" i="25"/>
  <c r="AJ129" i="25"/>
  <c r="AM129" i="25"/>
  <c r="BT129" i="25" s="1"/>
  <c r="AM92" i="25"/>
  <c r="CB92" i="25" s="1"/>
  <c r="AJ92" i="25"/>
  <c r="AM249" i="25"/>
  <c r="CB249" i="25" s="1"/>
  <c r="AJ249" i="25"/>
  <c r="AM32" i="25"/>
  <c r="BT32" i="25" s="1"/>
  <c r="AJ32" i="25"/>
  <c r="AJ296" i="25"/>
  <c r="AM296" i="25"/>
  <c r="AM288" i="25"/>
  <c r="CB288" i="25" s="1"/>
  <c r="AJ288" i="25"/>
  <c r="AJ114" i="25"/>
  <c r="AM114" i="25"/>
  <c r="BT114" i="25" s="1"/>
  <c r="AJ69" i="25"/>
  <c r="AM69" i="25"/>
  <c r="CB69" i="25" s="1"/>
  <c r="AJ188" i="25"/>
  <c r="AM188" i="25"/>
  <c r="BT188" i="25" s="1"/>
  <c r="AJ90" i="25"/>
  <c r="AM90" i="25"/>
  <c r="BT90" i="25" s="1"/>
  <c r="AM9" i="25"/>
  <c r="BT9" i="25" s="1"/>
  <c r="AJ9" i="25"/>
  <c r="AJ234" i="25"/>
  <c r="AM234" i="25"/>
  <c r="AJ67" i="25"/>
  <c r="AM67" i="25"/>
  <c r="CB67" i="25" s="1"/>
  <c r="AJ271" i="25"/>
  <c r="AM271" i="25"/>
  <c r="AJ10" i="25"/>
  <c r="AM10" i="25"/>
  <c r="BF10" i="25" s="1"/>
  <c r="AJ279" i="25"/>
  <c r="AM279" i="25"/>
  <c r="CB279" i="25" s="1"/>
  <c r="AJ45" i="25"/>
  <c r="AM45" i="25"/>
  <c r="CB45" i="25" s="1"/>
  <c r="AS66" i="25"/>
  <c r="AX66" i="25" s="1"/>
  <c r="AM303" i="25"/>
  <c r="AJ303" i="25"/>
  <c r="AM176" i="25"/>
  <c r="BT176" i="25" s="1"/>
  <c r="AJ176" i="25"/>
  <c r="AJ239" i="25"/>
  <c r="AM239" i="25"/>
  <c r="AJ104" i="25"/>
  <c r="AM104" i="25"/>
  <c r="CB104" i="25" s="1"/>
  <c r="AJ61" i="25"/>
  <c r="AM61" i="25"/>
  <c r="CB61" i="25" s="1"/>
  <c r="AS89" i="25"/>
  <c r="AX89" i="25" s="1"/>
  <c r="AS80" i="25"/>
  <c r="AX80" i="25" s="1"/>
  <c r="AJ258" i="25"/>
  <c r="AM258" i="25"/>
  <c r="CB258" i="25" s="1"/>
  <c r="AM120" i="25"/>
  <c r="BT120" i="25" s="1"/>
  <c r="AJ120" i="25"/>
  <c r="AJ263" i="25"/>
  <c r="AM263" i="25"/>
  <c r="AJ11" i="25"/>
  <c r="AM11" i="25"/>
  <c r="BT11" i="25" s="1"/>
  <c r="AJ115" i="25"/>
  <c r="AM115" i="25"/>
  <c r="BT115" i="25" s="1"/>
  <c r="AS19" i="25"/>
  <c r="AX19" i="25" s="1"/>
  <c r="AJ141" i="25"/>
  <c r="AM141" i="25"/>
  <c r="BT141" i="25" s="1"/>
  <c r="AM168" i="25"/>
  <c r="BT168" i="25" s="1"/>
  <c r="AJ168" i="25"/>
  <c r="AM278" i="25"/>
  <c r="CB278" i="25" s="1"/>
  <c r="AJ278" i="25"/>
  <c r="AJ302" i="25"/>
  <c r="AM302" i="25"/>
  <c r="CB302" i="25" s="1"/>
  <c r="AJ218" i="25"/>
  <c r="AM218" i="25"/>
  <c r="AJ65" i="25"/>
  <c r="AM65" i="25"/>
  <c r="BT65" i="25" s="1"/>
  <c r="AM122" i="25"/>
  <c r="BT122" i="25" s="1"/>
  <c r="AJ122" i="25"/>
  <c r="AJ285" i="25"/>
  <c r="AM285" i="25"/>
  <c r="AM144" i="25"/>
  <c r="BT144" i="25" s="1"/>
  <c r="AJ144" i="25"/>
  <c r="AM221" i="25"/>
  <c r="AJ221" i="25"/>
  <c r="AJ297" i="25"/>
  <c r="AM297" i="25"/>
  <c r="AJ181" i="25"/>
  <c r="AM181" i="25"/>
  <c r="BT181" i="25" s="1"/>
  <c r="AJ240" i="25"/>
  <c r="AM240" i="25"/>
  <c r="CB240" i="25" s="1"/>
  <c r="AM43" i="25"/>
  <c r="BT43" i="25" s="1"/>
  <c r="AJ43" i="25"/>
  <c r="AM101" i="25"/>
  <c r="CB101" i="25" s="1"/>
  <c r="AJ101" i="25"/>
  <c r="AJ223" i="25"/>
  <c r="AM223" i="25"/>
  <c r="AJ100" i="25"/>
  <c r="AM100" i="25"/>
  <c r="CB100" i="25" s="1"/>
  <c r="AS72" i="25"/>
  <c r="AX72" i="25" s="1"/>
  <c r="AJ133" i="25"/>
  <c r="AM133" i="25"/>
  <c r="BT133" i="25" s="1"/>
  <c r="AJ198" i="25"/>
  <c r="AM198" i="25"/>
  <c r="BT198" i="25" s="1"/>
  <c r="AJ177" i="25"/>
  <c r="AM177" i="25"/>
  <c r="BT177" i="25" s="1"/>
  <c r="AJ227" i="25"/>
  <c r="AM227" i="25"/>
  <c r="CB227" i="25" s="1"/>
  <c r="AM25" i="25"/>
  <c r="BT25" i="25" s="1"/>
  <c r="AJ25" i="25"/>
  <c r="AJ62" i="25"/>
  <c r="AM62" i="25"/>
  <c r="BT62" i="25" s="1"/>
  <c r="AM37" i="25"/>
  <c r="CB37" i="25" s="1"/>
  <c r="AJ37" i="25"/>
  <c r="AM289" i="25"/>
  <c r="CB289" i="25" s="1"/>
  <c r="AJ289" i="25"/>
  <c r="AM261" i="25"/>
  <c r="CB261" i="25" s="1"/>
  <c r="AJ261" i="25"/>
  <c r="AJ185" i="25"/>
  <c r="AM185" i="25"/>
  <c r="BT185" i="25" s="1"/>
  <c r="AJ119" i="25"/>
  <c r="AM119" i="25"/>
  <c r="BT119" i="25" s="1"/>
  <c r="AM24" i="25"/>
  <c r="BT24" i="25" s="1"/>
  <c r="AJ24" i="25"/>
  <c r="AJ161" i="25"/>
  <c r="AM161" i="25"/>
  <c r="BT161" i="25" s="1"/>
  <c r="AJ280" i="25"/>
  <c r="AM280" i="25"/>
  <c r="CB280" i="25" s="1"/>
  <c r="AM268" i="25"/>
  <c r="AJ268" i="25"/>
  <c r="AJ6" i="25"/>
  <c r="AM6" i="25"/>
  <c r="CB6" i="25" s="1"/>
  <c r="AJ308" i="25"/>
  <c r="AM308" i="25"/>
  <c r="CB308" i="25" s="1"/>
  <c r="AJ12" i="25"/>
  <c r="AM12" i="25"/>
  <c r="CB12" i="25" s="1"/>
  <c r="AS50" i="25"/>
  <c r="AX50" i="25" s="1"/>
  <c r="AS65" i="25"/>
  <c r="AX65" i="25" s="1"/>
  <c r="AM253" i="25"/>
  <c r="CB253" i="25" s="1"/>
  <c r="AJ253" i="25"/>
  <c r="AS75" i="25"/>
  <c r="AX75" i="25" s="1"/>
  <c r="AS84" i="25"/>
  <c r="AX84" i="25" s="1"/>
  <c r="AM79" i="25"/>
  <c r="CB79" i="25" s="1"/>
  <c r="AJ79" i="25"/>
  <c r="AM142" i="25"/>
  <c r="BT142" i="25" s="1"/>
  <c r="AJ142" i="25"/>
  <c r="AM13" i="25"/>
  <c r="BT13" i="25" s="1"/>
  <c r="AJ13" i="25"/>
  <c r="AS39" i="25"/>
  <c r="AX39" i="25" s="1"/>
  <c r="AJ148" i="25"/>
  <c r="AM148" i="25"/>
  <c r="BT148" i="25" s="1"/>
  <c r="AM36" i="25"/>
  <c r="CB36" i="25" s="1"/>
  <c r="AJ36" i="25"/>
  <c r="AJ274" i="25"/>
  <c r="AM274" i="25"/>
  <c r="CB274" i="25" s="1"/>
  <c r="AM76" i="25"/>
  <c r="CB76" i="25" s="1"/>
  <c r="AJ76" i="25"/>
  <c r="AJ267" i="25"/>
  <c r="AM267" i="25"/>
  <c r="CB267" i="25" s="1"/>
  <c r="AJ195" i="25"/>
  <c r="AM195" i="25"/>
  <c r="BT195" i="25" s="1"/>
  <c r="AJ202" i="25"/>
  <c r="AM202" i="25"/>
  <c r="BT202" i="25" s="1"/>
  <c r="AM130" i="25"/>
  <c r="BT130" i="25" s="1"/>
  <c r="AJ130" i="25"/>
  <c r="AM52" i="25"/>
  <c r="BT52" i="25" s="1"/>
  <c r="AJ52" i="25"/>
  <c r="AJ179" i="25"/>
  <c r="AM179" i="25"/>
  <c r="BT179" i="25" s="1"/>
  <c r="AJ145" i="25"/>
  <c r="AM145" i="25"/>
  <c r="BT145" i="25" s="1"/>
  <c r="AM46" i="25"/>
  <c r="BT46" i="25" s="1"/>
  <c r="AJ46" i="25"/>
  <c r="AJ183" i="25"/>
  <c r="AM183" i="25"/>
  <c r="BT183" i="25" s="1"/>
  <c r="AJ47" i="25"/>
  <c r="AM47" i="25"/>
  <c r="CB47" i="25" s="1"/>
  <c r="AM19" i="25"/>
  <c r="BF19" i="25" s="1"/>
  <c r="AJ19" i="25"/>
  <c r="AM23" i="25"/>
  <c r="BS23" i="25" s="1"/>
  <c r="AJ23" i="25"/>
  <c r="AJ197" i="25"/>
  <c r="AM197" i="25"/>
  <c r="BT197" i="25" s="1"/>
  <c r="AJ140" i="25"/>
  <c r="AM140" i="25"/>
  <c r="BT140" i="25" s="1"/>
  <c r="AM154" i="25"/>
  <c r="BT154" i="25" s="1"/>
  <c r="AJ154" i="25"/>
  <c r="AJ281" i="25"/>
  <c r="AM281" i="25"/>
  <c r="CB281" i="25" s="1"/>
  <c r="AM187" i="25"/>
  <c r="BT187" i="25" s="1"/>
  <c r="AJ187" i="25"/>
  <c r="AJ247" i="25"/>
  <c r="AM247" i="25"/>
  <c r="CB247" i="25" s="1"/>
  <c r="AS95" i="25"/>
  <c r="AX95" i="25" s="1"/>
  <c r="AJ169" i="25"/>
  <c r="AM169" i="25"/>
  <c r="BT169" i="25" s="1"/>
  <c r="AM137" i="25"/>
  <c r="BT137" i="25" s="1"/>
  <c r="AJ137" i="25"/>
  <c r="AS99" i="25"/>
  <c r="AX99" i="25" s="1"/>
  <c r="AM60" i="25"/>
  <c r="BT60" i="25" s="1"/>
  <c r="AJ60" i="25"/>
  <c r="AJ220" i="25"/>
  <c r="AM220" i="25"/>
  <c r="AM96" i="25"/>
  <c r="CB96" i="25" s="1"/>
  <c r="AJ96" i="25"/>
  <c r="AJ246" i="25"/>
  <c r="AM246" i="25"/>
  <c r="CB246" i="25" s="1"/>
  <c r="AM54" i="25"/>
  <c r="CB54" i="25" s="1"/>
  <c r="AJ54" i="25"/>
  <c r="AJ83" i="25"/>
  <c r="AM83" i="25"/>
  <c r="CB83" i="25" s="1"/>
  <c r="AJ307" i="25"/>
  <c r="AM307" i="25"/>
  <c r="CB307" i="25" s="1"/>
  <c r="AJ236" i="25"/>
  <c r="AM236" i="25"/>
  <c r="AM192" i="25"/>
  <c r="BT192" i="25" s="1"/>
  <c r="AJ192" i="25"/>
  <c r="AJ305" i="25"/>
  <c r="AM305" i="25"/>
  <c r="CB305" i="25" s="1"/>
  <c r="AM203" i="25"/>
  <c r="BT203" i="25" s="1"/>
  <c r="AJ203" i="25"/>
  <c r="AJ284" i="25"/>
  <c r="AM284" i="25"/>
  <c r="CB284" i="25" s="1"/>
  <c r="AJ256" i="25"/>
  <c r="AM256" i="25"/>
  <c r="CB256" i="25" s="1"/>
  <c r="AJ125" i="25"/>
  <c r="AM125" i="25"/>
  <c r="BT125" i="25" s="1"/>
  <c r="AJ21" i="25"/>
  <c r="AM21" i="25"/>
  <c r="CB21" i="25" s="1"/>
  <c r="AJ306" i="25"/>
  <c r="AM306" i="25"/>
  <c r="CB306" i="25" s="1"/>
  <c r="AJ40" i="25"/>
  <c r="AM40" i="25"/>
  <c r="BT40" i="25" s="1"/>
  <c r="AM283" i="25"/>
  <c r="CB283" i="25" s="1"/>
  <c r="AJ283" i="25"/>
  <c r="AS74" i="25"/>
  <c r="AX74" i="25" s="1"/>
  <c r="AJ167" i="25"/>
  <c r="AM167" i="25"/>
  <c r="BT167" i="25" s="1"/>
  <c r="AM86" i="25"/>
  <c r="CB86" i="25" s="1"/>
  <c r="AJ86" i="25"/>
  <c r="AJ316" i="25"/>
  <c r="AM316" i="25"/>
  <c r="AM8" i="25"/>
  <c r="BT8" i="25" s="1"/>
  <c r="AJ8" i="25"/>
  <c r="AM201" i="25"/>
  <c r="BT201" i="25" s="1"/>
  <c r="AJ201" i="25"/>
  <c r="AJ235" i="25"/>
  <c r="AM235" i="25"/>
  <c r="AM118" i="25"/>
  <c r="BT118" i="25" s="1"/>
  <c r="AJ118" i="25"/>
  <c r="AM207" i="25"/>
  <c r="BT207" i="25" s="1"/>
  <c r="AJ207" i="25"/>
  <c r="AJ226" i="25"/>
  <c r="AM226" i="25"/>
  <c r="AJ48" i="25"/>
  <c r="AM48" i="25"/>
  <c r="CB48" i="25" s="1"/>
  <c r="AJ209" i="25"/>
  <c r="AM209" i="25"/>
  <c r="BT209" i="25" s="1"/>
  <c r="AJ243" i="25"/>
  <c r="AM243" i="25"/>
  <c r="AM230" i="25"/>
  <c r="CB230" i="25" s="1"/>
  <c r="AJ230" i="25"/>
  <c r="AM88" i="25"/>
  <c r="BT88" i="25" s="1"/>
  <c r="AJ88" i="25"/>
  <c r="AM199" i="25"/>
  <c r="BT199" i="25" s="1"/>
  <c r="AJ199" i="25"/>
  <c r="AM30" i="25"/>
  <c r="BT30" i="25" s="1"/>
  <c r="AJ30" i="25"/>
  <c r="AJ248" i="25"/>
  <c r="AM248" i="25"/>
  <c r="AM68" i="25"/>
  <c r="BT68" i="25" s="1"/>
  <c r="AJ68" i="25"/>
  <c r="AM82" i="25"/>
  <c r="CB82" i="25" s="1"/>
  <c r="AJ82" i="25"/>
  <c r="AM73" i="25"/>
  <c r="CB73" i="25" s="1"/>
  <c r="AJ73" i="25"/>
  <c r="AM190" i="25"/>
  <c r="BT190" i="25" s="1"/>
  <c r="AJ190" i="25"/>
  <c r="AJ238" i="25"/>
  <c r="AM238" i="25"/>
  <c r="CB238" i="25" s="1"/>
  <c r="AJ172" i="25"/>
  <c r="AM172" i="25"/>
  <c r="BT172" i="25" s="1"/>
  <c r="AM298" i="25"/>
  <c r="CB298" i="25" s="1"/>
  <c r="AJ298" i="25"/>
  <c r="AJ163" i="25"/>
  <c r="AM163" i="25"/>
  <c r="BT163" i="25" s="1"/>
  <c r="AM255" i="25"/>
  <c r="CB255" i="25" s="1"/>
  <c r="AJ255" i="25"/>
  <c r="AM134" i="25"/>
  <c r="BT134" i="25" s="1"/>
  <c r="AJ134" i="25"/>
  <c r="AJ299" i="25"/>
  <c r="AM299" i="25"/>
  <c r="CB299" i="25" s="1"/>
  <c r="AJ175" i="25"/>
  <c r="AM175" i="25"/>
  <c r="BT175" i="25" s="1"/>
  <c r="AM225" i="25"/>
  <c r="AJ225" i="25"/>
  <c r="AM237" i="25"/>
  <c r="AJ237" i="25"/>
  <c r="AJ205" i="25"/>
  <c r="AM205" i="25"/>
  <c r="BT205" i="25" s="1"/>
  <c r="AM147" i="25"/>
  <c r="BT147" i="25" s="1"/>
  <c r="AJ147" i="25"/>
  <c r="AS55" i="25"/>
  <c r="AX55" i="25" s="1"/>
  <c r="AS32" i="25"/>
  <c r="AX32" i="25" s="1"/>
  <c r="AJ262" i="25"/>
  <c r="AM262" i="25"/>
  <c r="AS7" i="25"/>
  <c r="AX7" i="25" s="1"/>
  <c r="AM146" i="25"/>
  <c r="BT146" i="25" s="1"/>
  <c r="AJ146" i="25"/>
  <c r="AM77" i="25"/>
  <c r="BF77" i="25" s="1"/>
  <c r="AJ77" i="25"/>
  <c r="AM63" i="25"/>
  <c r="BT63" i="25" s="1"/>
  <c r="AJ63" i="25"/>
  <c r="AJ27" i="25"/>
  <c r="AM27" i="25"/>
  <c r="BT27" i="25" s="1"/>
  <c r="AJ80" i="25"/>
  <c r="AM80" i="25"/>
  <c r="BT80" i="25" s="1"/>
  <c r="AM301" i="25"/>
  <c r="CB301" i="25" s="1"/>
  <c r="AJ301" i="25"/>
  <c r="AJ231" i="25"/>
  <c r="AM231" i="25"/>
  <c r="AM50" i="25"/>
  <c r="BT50" i="25" s="1"/>
  <c r="AJ50" i="25"/>
  <c r="AJ304" i="25"/>
  <c r="AM304" i="25"/>
  <c r="CB304" i="25" s="1"/>
  <c r="AM33" i="25"/>
  <c r="BT33" i="25" s="1"/>
  <c r="AJ33" i="25"/>
  <c r="AM124" i="25"/>
  <c r="BT124" i="25" s="1"/>
  <c r="AJ124" i="25"/>
  <c r="AM300" i="25"/>
  <c r="CB300" i="25" s="1"/>
  <c r="AJ300" i="25"/>
  <c r="AM232" i="25"/>
  <c r="AJ232" i="25"/>
  <c r="AM123" i="25"/>
  <c r="BT123" i="25" s="1"/>
  <c r="AJ123" i="25"/>
  <c r="AJ164" i="25"/>
  <c r="AM164" i="25"/>
  <c r="BT164" i="25" s="1"/>
  <c r="AM219" i="25"/>
  <c r="AJ219" i="25"/>
  <c r="AJ91" i="25"/>
  <c r="AM91" i="25"/>
  <c r="BT91" i="25" s="1"/>
  <c r="AJ312" i="25"/>
  <c r="AM312" i="25"/>
  <c r="CB312" i="25" s="1"/>
  <c r="AJ193" i="25"/>
  <c r="AM193" i="25"/>
  <c r="BT193" i="25" s="1"/>
  <c r="AS85" i="25"/>
  <c r="AX85" i="25" s="1"/>
  <c r="AS77" i="25"/>
  <c r="AX77" i="25" s="1"/>
  <c r="AJ206" i="25"/>
  <c r="AM206" i="25"/>
  <c r="BT206" i="25" s="1"/>
  <c r="AM294" i="25"/>
  <c r="CB294" i="25" s="1"/>
  <c r="AJ294" i="25"/>
  <c r="AM292" i="25"/>
  <c r="CB292" i="25" s="1"/>
  <c r="AJ292" i="25"/>
  <c r="AM42" i="25"/>
  <c r="CB42" i="25" s="1"/>
  <c r="AJ42" i="25"/>
  <c r="AJ44" i="25"/>
  <c r="AM44" i="25"/>
  <c r="CB44" i="25" s="1"/>
  <c r="AM94" i="25"/>
  <c r="CB94" i="25" s="1"/>
  <c r="AJ94" i="25"/>
  <c r="AM315" i="25"/>
  <c r="AJ315" i="25"/>
  <c r="AJ111" i="25"/>
  <c r="AM111" i="25"/>
  <c r="BT111" i="25" s="1"/>
  <c r="AM204" i="25"/>
  <c r="BT204" i="25" s="1"/>
  <c r="AJ204" i="25"/>
  <c r="AJ132" i="25"/>
  <c r="AM132" i="25"/>
  <c r="BT132" i="25" s="1"/>
  <c r="AK74" i="24"/>
  <c r="AT10" i="24"/>
  <c r="BA10" i="24" s="1"/>
  <c r="AT36" i="24"/>
  <c r="BA36" i="24" s="1"/>
  <c r="AT78" i="24"/>
  <c r="BA78" i="24" s="1"/>
  <c r="AT95" i="24"/>
  <c r="BA95" i="24" s="1"/>
  <c r="AT104" i="24"/>
  <c r="BA104" i="24" s="1"/>
  <c r="AT27" i="24"/>
  <c r="BA27" i="24" s="1"/>
  <c r="AK292" i="24"/>
  <c r="AK315" i="24"/>
  <c r="AK245" i="24"/>
  <c r="AK304" i="24"/>
  <c r="AK180" i="24"/>
  <c r="AN180" i="24"/>
  <c r="AK197" i="24"/>
  <c r="AN197" i="24"/>
  <c r="BH197" i="24" s="1"/>
  <c r="AN175" i="24"/>
  <c r="AK175" i="24"/>
  <c r="AK178" i="24"/>
  <c r="AN178" i="24"/>
  <c r="AK127" i="24"/>
  <c r="AN127" i="24"/>
  <c r="BS127" i="24" s="1"/>
  <c r="AK200" i="24"/>
  <c r="AN200" i="24"/>
  <c r="AK124" i="24"/>
  <c r="AN124" i="24"/>
  <c r="AK138" i="24"/>
  <c r="AN138" i="24"/>
  <c r="AK129" i="24"/>
  <c r="AN129" i="24"/>
  <c r="AN135" i="24"/>
  <c r="AK135" i="24"/>
  <c r="AK173" i="24"/>
  <c r="AN173" i="24"/>
  <c r="AK118" i="24"/>
  <c r="AN118" i="24"/>
  <c r="AN164" i="24"/>
  <c r="AK164" i="24"/>
  <c r="AK121" i="24"/>
  <c r="AN121" i="24"/>
  <c r="BS121" i="24" s="1"/>
  <c r="AK202" i="24"/>
  <c r="AN202" i="24"/>
  <c r="AN300" i="24"/>
  <c r="AN111" i="24"/>
  <c r="AX111" i="24" s="1"/>
  <c r="AK111" i="24"/>
  <c r="AK160" i="24"/>
  <c r="AN160" i="24"/>
  <c r="AN126" i="24"/>
  <c r="AK126" i="24"/>
  <c r="AN140" i="24"/>
  <c r="AK140" i="24"/>
  <c r="AN292" i="24"/>
  <c r="AK316" i="24"/>
  <c r="AK230" i="24"/>
  <c r="AN316" i="24"/>
  <c r="AN245" i="24"/>
  <c r="CB245" i="24" s="1"/>
  <c r="AN315" i="24"/>
  <c r="CB315" i="24" s="1"/>
  <c r="AN222" i="24"/>
  <c r="AK222" i="24"/>
  <c r="AK224" i="24"/>
  <c r="AN224" i="24"/>
  <c r="AN216" i="24"/>
  <c r="AK216" i="24"/>
  <c r="AN247" i="24"/>
  <c r="AK247" i="24"/>
  <c r="AK264" i="24"/>
  <c r="AN264" i="24"/>
  <c r="AK285" i="24"/>
  <c r="AN285" i="24"/>
  <c r="CB285" i="24" s="1"/>
  <c r="AK221" i="24"/>
  <c r="AN221" i="24"/>
  <c r="AK250" i="24"/>
  <c r="AN250" i="24"/>
  <c r="CB250" i="24" s="1"/>
  <c r="AK307" i="24"/>
  <c r="AN307" i="24"/>
  <c r="CB307" i="24" s="1"/>
  <c r="AK235" i="24"/>
  <c r="AN235" i="24"/>
  <c r="AN223" i="24"/>
  <c r="AK223" i="24"/>
  <c r="AN302" i="24"/>
  <c r="CB302" i="24" s="1"/>
  <c r="AK302" i="24"/>
  <c r="AK266" i="24"/>
  <c r="AN266" i="24"/>
  <c r="AN274" i="24"/>
  <c r="AK274" i="24"/>
  <c r="AK275" i="24"/>
  <c r="AN275" i="24"/>
  <c r="CB275" i="24" s="1"/>
  <c r="AN297" i="24"/>
  <c r="AK297" i="24"/>
  <c r="AN279" i="24"/>
  <c r="CB279" i="24" s="1"/>
  <c r="AK279" i="24"/>
  <c r="AN259" i="24"/>
  <c r="AK259" i="24"/>
  <c r="AK236" i="24"/>
  <c r="AN236" i="24"/>
  <c r="CB236" i="24" s="1"/>
  <c r="AN288" i="24"/>
  <c r="AK288" i="24"/>
  <c r="AK256" i="24"/>
  <c r="AN256" i="24"/>
  <c r="CB256" i="24" s="1"/>
  <c r="AK258" i="24"/>
  <c r="AN258" i="24"/>
  <c r="AK233" i="24"/>
  <c r="AN233" i="24"/>
  <c r="CB233" i="24" s="1"/>
  <c r="AN314" i="24"/>
  <c r="CB314" i="24" s="1"/>
  <c r="AK273" i="24"/>
  <c r="AN273" i="24"/>
  <c r="CB273" i="24" s="1"/>
  <c r="AN243" i="24"/>
  <c r="AK243" i="24"/>
  <c r="AN220" i="24"/>
  <c r="AK220" i="24"/>
  <c r="AN228" i="24"/>
  <c r="AK228" i="24"/>
  <c r="AK229" i="24"/>
  <c r="AN229" i="24"/>
  <c r="AK310" i="24"/>
  <c r="AN310" i="24"/>
  <c r="AN287" i="24"/>
  <c r="CB287" i="24" s="1"/>
  <c r="AK287" i="24"/>
  <c r="AN218" i="24"/>
  <c r="AK218" i="24"/>
  <c r="AK294" i="24"/>
  <c r="AN294" i="24"/>
  <c r="CB294" i="24" s="1"/>
  <c r="AK271" i="24"/>
  <c r="AN271" i="24"/>
  <c r="AK227" i="24"/>
  <c r="AN227" i="24"/>
  <c r="CB227" i="24" s="1"/>
  <c r="AN251" i="24"/>
  <c r="CB251" i="24" s="1"/>
  <c r="AK251" i="24"/>
  <c r="AN293" i="24"/>
  <c r="CB293" i="24" s="1"/>
  <c r="AK293" i="24"/>
  <c r="AK241" i="24"/>
  <c r="AN241" i="24"/>
  <c r="AK219" i="24"/>
  <c r="AN219" i="24"/>
  <c r="CB219" i="24" s="1"/>
  <c r="AK234" i="24"/>
  <c r="AN234" i="24"/>
  <c r="AK254" i="24"/>
  <c r="AN254" i="24"/>
  <c r="AN286" i="24"/>
  <c r="AK286" i="24"/>
  <c r="AK300" i="24"/>
  <c r="AK309" i="24"/>
  <c r="AN309" i="24"/>
  <c r="CB309" i="24" s="1"/>
  <c r="AK303" i="24"/>
  <c r="AN303" i="24"/>
  <c r="CB303" i="24" s="1"/>
  <c r="AN301" i="24"/>
  <c r="AK301" i="24"/>
  <c r="AN268" i="24"/>
  <c r="CB268" i="24" s="1"/>
  <c r="AK268" i="24"/>
  <c r="AK239" i="24"/>
  <c r="AN239" i="24"/>
  <c r="AK240" i="24"/>
  <c r="AN240" i="24"/>
  <c r="CB240" i="24" s="1"/>
  <c r="AN304" i="24"/>
  <c r="CB304" i="24" s="1"/>
  <c r="AK314" i="24"/>
  <c r="AN272" i="24"/>
  <c r="AK272" i="24"/>
  <c r="AN230" i="24"/>
  <c r="CB230" i="24" s="1"/>
  <c r="BQ106" i="19"/>
  <c r="AK181" i="24" l="1"/>
  <c r="AW144" i="25"/>
  <c r="AX202" i="25"/>
  <c r="AK83" i="24"/>
  <c r="AX181" i="25"/>
  <c r="AX191" i="25"/>
  <c r="AW114" i="25"/>
  <c r="AX184" i="25"/>
  <c r="AW127" i="25"/>
  <c r="AX135" i="25"/>
  <c r="AX146" i="25"/>
  <c r="AW118" i="25"/>
  <c r="BS89" i="25"/>
  <c r="CB89" i="25"/>
  <c r="AW160" i="25"/>
  <c r="AW134" i="25"/>
  <c r="AW138" i="25"/>
  <c r="AW172" i="25"/>
  <c r="AX112" i="25"/>
  <c r="AW143" i="25"/>
  <c r="AW115" i="25"/>
  <c r="AW145" i="25"/>
  <c r="AW186" i="25"/>
  <c r="BT135" i="25"/>
  <c r="CB135" i="25"/>
  <c r="AX164" i="25"/>
  <c r="AW116" i="25"/>
  <c r="AX190" i="25"/>
  <c r="AW157" i="25"/>
  <c r="AX168" i="25"/>
  <c r="AW177" i="25"/>
  <c r="AX129" i="25"/>
  <c r="AX179" i="25"/>
  <c r="AW165" i="25"/>
  <c r="AW173" i="25"/>
  <c r="AX207" i="25"/>
  <c r="AW167" i="25"/>
  <c r="AW155" i="25"/>
  <c r="AW141" i="25"/>
  <c r="AX148" i="25"/>
  <c r="AX205" i="25"/>
  <c r="AX178" i="25"/>
  <c r="AX208" i="25"/>
  <c r="AW110" i="25"/>
  <c r="AW147" i="25"/>
  <c r="AW111" i="25"/>
  <c r="AW152" i="25"/>
  <c r="AX121" i="25"/>
  <c r="AW192" i="25"/>
  <c r="AX153" i="25"/>
  <c r="AW174" i="25"/>
  <c r="AW188" i="25"/>
  <c r="AX166" i="25"/>
  <c r="AX131" i="25"/>
  <c r="AW203" i="25"/>
  <c r="AX201" i="25"/>
  <c r="AW113" i="25"/>
  <c r="AX185" i="25"/>
  <c r="BT100" i="25"/>
  <c r="AW139" i="25"/>
  <c r="AW196" i="25"/>
  <c r="AX123" i="25"/>
  <c r="BT79" i="25"/>
  <c r="BT34" i="25"/>
  <c r="BT64" i="25"/>
  <c r="BT104" i="25"/>
  <c r="BT20" i="25"/>
  <c r="AX206" i="25"/>
  <c r="AW209" i="25"/>
  <c r="AX198" i="25"/>
  <c r="BT51" i="25"/>
  <c r="BT7" i="25"/>
  <c r="AW204" i="25"/>
  <c r="AX120" i="25"/>
  <c r="AW194" i="25"/>
  <c r="BT48" i="25"/>
  <c r="AW133" i="25"/>
  <c r="AW158" i="25"/>
  <c r="AW140" i="25"/>
  <c r="AW117" i="25"/>
  <c r="AW193" i="25"/>
  <c r="AW142" i="25"/>
  <c r="AW171" i="25"/>
  <c r="AW136" i="25"/>
  <c r="AW187" i="25"/>
  <c r="AX156" i="25"/>
  <c r="AX169" i="25"/>
  <c r="AX163" i="25"/>
  <c r="BT70" i="25"/>
  <c r="BT83" i="25"/>
  <c r="BT105" i="25"/>
  <c r="BT87" i="25"/>
  <c r="AW151" i="25"/>
  <c r="BT53" i="25"/>
  <c r="AW175" i="25"/>
  <c r="AW150" i="25"/>
  <c r="BT94" i="25"/>
  <c r="BT96" i="25"/>
  <c r="BT54" i="25"/>
  <c r="BT26" i="25"/>
  <c r="BT67" i="25"/>
  <c r="BT10" i="25"/>
  <c r="BT14" i="25"/>
  <c r="BT17" i="25"/>
  <c r="BT57" i="25"/>
  <c r="AW159" i="25"/>
  <c r="AW119" i="25"/>
  <c r="AW200" i="25"/>
  <c r="AW180" i="25"/>
  <c r="AW154" i="25"/>
  <c r="AW182" i="25"/>
  <c r="AW183" i="25"/>
  <c r="AW130" i="25"/>
  <c r="AW199" i="25"/>
  <c r="AW125" i="25"/>
  <c r="AW197" i="25"/>
  <c r="AW195" i="25"/>
  <c r="AW176" i="25"/>
  <c r="AW126" i="25"/>
  <c r="AW189" i="25"/>
  <c r="AW170" i="25"/>
  <c r="AW122" i="25"/>
  <c r="AW210" i="25"/>
  <c r="AW162" i="25"/>
  <c r="AW128" i="25"/>
  <c r="AW149" i="25"/>
  <c r="AW161" i="25"/>
  <c r="AW132" i="25"/>
  <c r="AW124" i="25"/>
  <c r="AW137" i="25"/>
  <c r="BT101" i="25"/>
  <c r="BT21" i="25"/>
  <c r="BT92" i="25"/>
  <c r="BT49" i="25"/>
  <c r="BT45" i="25"/>
  <c r="BT93" i="25"/>
  <c r="BT19" i="25"/>
  <c r="BT85" i="25"/>
  <c r="BT103" i="25"/>
  <c r="BT102" i="25"/>
  <c r="BT38" i="25"/>
  <c r="BT77" i="25"/>
  <c r="BT61" i="25"/>
  <c r="BT47" i="25"/>
  <c r="BT29" i="25"/>
  <c r="BT89" i="25"/>
  <c r="BT37" i="25"/>
  <c r="BT78" i="25"/>
  <c r="BT42" i="25"/>
  <c r="BT76" i="25"/>
  <c r="BT6" i="25"/>
  <c r="BT18" i="25"/>
  <c r="BT99" i="25"/>
  <c r="BT86" i="25"/>
  <c r="BT44" i="25"/>
  <c r="BT97" i="25"/>
  <c r="BT12" i="25"/>
  <c r="BT81" i="25"/>
  <c r="BT173" i="25"/>
  <c r="BT73" i="25"/>
  <c r="BT36" i="25"/>
  <c r="BT16" i="25"/>
  <c r="BT23" i="25"/>
  <c r="BT69" i="25"/>
  <c r="BT59" i="25"/>
  <c r="BT82" i="25"/>
  <c r="BT66" i="25"/>
  <c r="BT151" i="24"/>
  <c r="CB206" i="25"/>
  <c r="BF206" i="25"/>
  <c r="BS206" i="25"/>
  <c r="BG206" i="25"/>
  <c r="BH206" i="25"/>
  <c r="CB193" i="25"/>
  <c r="BG193" i="25"/>
  <c r="BH193" i="25"/>
  <c r="BF193" i="25"/>
  <c r="BS193" i="25"/>
  <c r="CB164" i="25"/>
  <c r="BH164" i="25"/>
  <c r="BG164" i="25"/>
  <c r="BS164" i="25"/>
  <c r="BF164" i="25"/>
  <c r="CB147" i="25"/>
  <c r="BF147" i="25"/>
  <c r="BG147" i="25"/>
  <c r="BS147" i="25"/>
  <c r="BH147" i="25"/>
  <c r="CB134" i="25"/>
  <c r="BG134" i="25"/>
  <c r="BS134" i="25"/>
  <c r="BH134" i="25"/>
  <c r="BF134" i="25"/>
  <c r="CB190" i="25"/>
  <c r="BF190" i="25"/>
  <c r="BS190" i="25"/>
  <c r="BG190" i="25"/>
  <c r="BH190" i="25"/>
  <c r="CB199" i="25"/>
  <c r="BF199" i="25"/>
  <c r="BG199" i="25"/>
  <c r="BS199" i="25"/>
  <c r="BH199" i="25"/>
  <c r="BF118" i="25"/>
  <c r="BS118" i="25"/>
  <c r="BG118" i="25"/>
  <c r="BH118" i="25"/>
  <c r="CB201" i="25"/>
  <c r="BS201" i="25"/>
  <c r="BF201" i="25"/>
  <c r="BG201" i="25"/>
  <c r="BH201" i="25"/>
  <c r="BG137" i="25"/>
  <c r="BS137" i="25"/>
  <c r="BF137" i="25"/>
  <c r="BH137" i="25"/>
  <c r="CB140" i="25"/>
  <c r="BG140" i="25"/>
  <c r="BS140" i="25"/>
  <c r="BH140" i="25"/>
  <c r="BF140" i="25"/>
  <c r="CB179" i="25"/>
  <c r="BF179" i="25"/>
  <c r="BS179" i="25"/>
  <c r="BG179" i="25"/>
  <c r="BH179" i="25"/>
  <c r="CB195" i="25"/>
  <c r="BH195" i="25"/>
  <c r="BF195" i="25"/>
  <c r="BG195" i="25"/>
  <c r="BS195" i="25"/>
  <c r="CB142" i="25"/>
  <c r="BF142" i="25"/>
  <c r="BS142" i="25"/>
  <c r="BG142" i="25"/>
  <c r="BH142" i="25"/>
  <c r="CB181" i="25"/>
  <c r="BG181" i="25"/>
  <c r="BS181" i="25"/>
  <c r="BH181" i="25"/>
  <c r="BF181" i="25"/>
  <c r="BF120" i="25"/>
  <c r="BH120" i="25"/>
  <c r="BG120" i="25"/>
  <c r="BS120" i="25"/>
  <c r="CB176" i="25"/>
  <c r="BG176" i="25"/>
  <c r="BH176" i="25"/>
  <c r="BF176" i="25"/>
  <c r="BS176" i="25"/>
  <c r="CB188" i="25"/>
  <c r="BF188" i="25"/>
  <c r="BH188" i="25"/>
  <c r="BG188" i="25"/>
  <c r="BS188" i="25"/>
  <c r="BF114" i="25"/>
  <c r="BS114" i="25"/>
  <c r="BH114" i="25"/>
  <c r="BG114" i="25"/>
  <c r="CB129" i="25"/>
  <c r="BH129" i="25"/>
  <c r="BG129" i="25"/>
  <c r="BS129" i="25"/>
  <c r="BF129" i="25"/>
  <c r="CB200" i="25"/>
  <c r="BF200" i="25"/>
  <c r="BH200" i="25"/>
  <c r="BG200" i="25"/>
  <c r="BS200" i="25"/>
  <c r="CB166" i="25"/>
  <c r="BH166" i="25"/>
  <c r="BS166" i="25"/>
  <c r="BF166" i="25"/>
  <c r="BG166" i="25"/>
  <c r="CB196" i="25"/>
  <c r="BH196" i="25"/>
  <c r="BF196" i="25"/>
  <c r="BG196" i="25"/>
  <c r="BS196" i="25"/>
  <c r="CB170" i="25"/>
  <c r="BG170" i="25"/>
  <c r="BS170" i="25"/>
  <c r="BH170" i="25"/>
  <c r="BF170" i="25"/>
  <c r="BG131" i="25"/>
  <c r="BH131" i="25"/>
  <c r="BF131" i="25"/>
  <c r="BS131" i="25"/>
  <c r="CB139" i="25"/>
  <c r="BS139" i="25"/>
  <c r="BF139" i="25"/>
  <c r="BG139" i="25"/>
  <c r="BH139" i="25"/>
  <c r="CB180" i="25"/>
  <c r="BG180" i="25"/>
  <c r="BH180" i="25"/>
  <c r="BS180" i="25"/>
  <c r="BF180" i="25"/>
  <c r="BH113" i="25"/>
  <c r="BG113" i="25"/>
  <c r="BS113" i="25"/>
  <c r="BF113" i="25"/>
  <c r="CB116" i="25"/>
  <c r="BH116" i="25"/>
  <c r="BF116" i="25"/>
  <c r="BS116" i="25"/>
  <c r="BG116" i="25"/>
  <c r="CB156" i="25"/>
  <c r="BH156" i="25"/>
  <c r="BG156" i="25"/>
  <c r="BS156" i="25"/>
  <c r="BF156" i="25"/>
  <c r="CB204" i="25"/>
  <c r="BF204" i="25"/>
  <c r="BG204" i="25"/>
  <c r="BS204" i="25"/>
  <c r="BH204" i="25"/>
  <c r="BG124" i="25"/>
  <c r="BS124" i="25"/>
  <c r="BH124" i="25"/>
  <c r="BF124" i="25"/>
  <c r="CB146" i="25"/>
  <c r="BF146" i="25"/>
  <c r="BG146" i="25"/>
  <c r="BH146" i="25"/>
  <c r="BS146" i="25"/>
  <c r="CB205" i="25"/>
  <c r="BF205" i="25"/>
  <c r="BG205" i="25"/>
  <c r="BS205" i="25"/>
  <c r="BH205" i="25"/>
  <c r="CB203" i="25"/>
  <c r="BF203" i="25"/>
  <c r="BS203" i="25"/>
  <c r="BG203" i="25"/>
  <c r="BH203" i="25"/>
  <c r="CB192" i="25"/>
  <c r="BF192" i="25"/>
  <c r="BG192" i="25"/>
  <c r="BS192" i="25"/>
  <c r="BH192" i="25"/>
  <c r="CB169" i="25"/>
  <c r="BG169" i="25"/>
  <c r="BH169" i="25"/>
  <c r="BF169" i="25"/>
  <c r="BS169" i="25"/>
  <c r="CB130" i="25"/>
  <c r="BF130" i="25"/>
  <c r="BG130" i="25"/>
  <c r="BS130" i="25"/>
  <c r="BH130" i="25"/>
  <c r="CB185" i="25"/>
  <c r="BH185" i="25"/>
  <c r="BF185" i="25"/>
  <c r="BG185" i="25"/>
  <c r="BS185" i="25"/>
  <c r="CB198" i="25"/>
  <c r="BF198" i="25"/>
  <c r="BG198" i="25"/>
  <c r="BS198" i="25"/>
  <c r="BH198" i="25"/>
  <c r="CB168" i="25"/>
  <c r="BF168" i="25"/>
  <c r="BG168" i="25"/>
  <c r="BH168" i="25"/>
  <c r="BS168" i="25"/>
  <c r="CB115" i="25"/>
  <c r="BF115" i="25"/>
  <c r="BG115" i="25"/>
  <c r="BS115" i="25"/>
  <c r="BH115" i="25"/>
  <c r="BF117" i="25"/>
  <c r="BG117" i="25"/>
  <c r="BH117" i="25"/>
  <c r="BS117" i="25"/>
  <c r="CB208" i="25"/>
  <c r="BG208" i="25"/>
  <c r="BF208" i="25"/>
  <c r="BH208" i="25"/>
  <c r="BS208" i="25"/>
  <c r="CB128" i="25"/>
  <c r="BH128" i="25"/>
  <c r="BF128" i="25"/>
  <c r="BS128" i="25"/>
  <c r="BG128" i="25"/>
  <c r="CB150" i="25"/>
  <c r="BG150" i="25"/>
  <c r="BH150" i="25"/>
  <c r="BS150" i="25"/>
  <c r="BF150" i="25"/>
  <c r="CB151" i="25"/>
  <c r="BF151" i="25"/>
  <c r="BS151" i="25"/>
  <c r="BG151" i="25"/>
  <c r="BH151" i="25"/>
  <c r="CB184" i="25"/>
  <c r="BH184" i="25"/>
  <c r="BS184" i="25"/>
  <c r="BG184" i="25"/>
  <c r="BF184" i="25"/>
  <c r="CB186" i="25"/>
  <c r="BH186" i="25"/>
  <c r="BS186" i="25"/>
  <c r="BF186" i="25"/>
  <c r="BG186" i="25"/>
  <c r="CB194" i="25"/>
  <c r="BH194" i="25"/>
  <c r="BS194" i="25"/>
  <c r="BF194" i="25"/>
  <c r="BG194" i="25"/>
  <c r="CB210" i="25"/>
  <c r="BF210" i="25"/>
  <c r="BS210" i="25"/>
  <c r="BG210" i="25"/>
  <c r="BH210" i="25"/>
  <c r="CB157" i="25"/>
  <c r="BF157" i="25"/>
  <c r="BG157" i="25"/>
  <c r="BH157" i="25"/>
  <c r="BS157" i="25"/>
  <c r="CB174" i="25"/>
  <c r="BF174" i="25"/>
  <c r="BH174" i="25"/>
  <c r="BG174" i="25"/>
  <c r="BS174" i="25"/>
  <c r="CB132" i="25"/>
  <c r="BF132" i="25"/>
  <c r="BG132" i="25"/>
  <c r="BH132" i="25"/>
  <c r="BS132" i="25"/>
  <c r="CB111" i="25"/>
  <c r="BF111" i="25"/>
  <c r="BS111" i="25"/>
  <c r="BG111" i="25"/>
  <c r="BH111" i="25"/>
  <c r="CB207" i="25"/>
  <c r="BF207" i="25"/>
  <c r="BH207" i="25"/>
  <c r="BS207" i="25"/>
  <c r="BG207" i="25"/>
  <c r="CB125" i="25"/>
  <c r="BH125" i="25"/>
  <c r="BG125" i="25"/>
  <c r="BS125" i="25"/>
  <c r="BF125" i="25"/>
  <c r="CB197" i="25"/>
  <c r="BH197" i="25"/>
  <c r="BS197" i="25"/>
  <c r="BG197" i="25"/>
  <c r="BF197" i="25"/>
  <c r="CB183" i="25"/>
  <c r="BG183" i="25"/>
  <c r="BH183" i="25"/>
  <c r="BF183" i="25"/>
  <c r="BS183" i="25"/>
  <c r="CB145" i="25"/>
  <c r="BH145" i="25"/>
  <c r="BF145" i="25"/>
  <c r="BG145" i="25"/>
  <c r="BS145" i="25"/>
  <c r="CB202" i="25"/>
  <c r="BF202" i="25"/>
  <c r="BG202" i="25"/>
  <c r="BS202" i="25"/>
  <c r="BH202" i="25"/>
  <c r="CB148" i="25"/>
  <c r="BH148" i="25"/>
  <c r="BF148" i="25"/>
  <c r="BS148" i="25"/>
  <c r="BG148" i="25"/>
  <c r="CB141" i="25"/>
  <c r="BH141" i="25"/>
  <c r="BF141" i="25"/>
  <c r="BG141" i="25"/>
  <c r="BS141" i="25"/>
  <c r="CB149" i="25"/>
  <c r="BH149" i="25"/>
  <c r="BS149" i="25"/>
  <c r="BF149" i="25"/>
  <c r="BG149" i="25"/>
  <c r="CB126" i="25"/>
  <c r="BF126" i="25"/>
  <c r="BS126" i="25"/>
  <c r="BG126" i="25"/>
  <c r="BH126" i="25"/>
  <c r="CB165" i="25"/>
  <c r="BG165" i="25"/>
  <c r="BS165" i="25"/>
  <c r="BF165" i="25"/>
  <c r="BH165" i="25"/>
  <c r="CB152" i="25"/>
  <c r="BF152" i="25"/>
  <c r="BS152" i="25"/>
  <c r="BG152" i="25"/>
  <c r="BH152" i="25"/>
  <c r="CB158" i="25"/>
  <c r="BH158" i="25"/>
  <c r="BS158" i="25"/>
  <c r="BF158" i="25"/>
  <c r="BG158" i="25"/>
  <c r="CB121" i="25"/>
  <c r="BG121" i="25"/>
  <c r="BH121" i="25"/>
  <c r="BF121" i="25"/>
  <c r="BS121" i="25"/>
  <c r="CB143" i="25"/>
  <c r="BF143" i="25"/>
  <c r="BG143" i="25"/>
  <c r="BS143" i="25"/>
  <c r="BH143" i="25"/>
  <c r="CB136" i="25"/>
  <c r="BG136" i="25"/>
  <c r="BS136" i="25"/>
  <c r="BF136" i="25"/>
  <c r="BH136" i="25"/>
  <c r="CB138" i="25"/>
  <c r="BH138" i="25"/>
  <c r="BF138" i="25"/>
  <c r="BS138" i="25"/>
  <c r="BG138" i="25"/>
  <c r="CB189" i="25"/>
  <c r="BF189" i="25"/>
  <c r="BG189" i="25"/>
  <c r="BS189" i="25"/>
  <c r="BH189" i="25"/>
  <c r="CB123" i="25"/>
  <c r="BS123" i="25"/>
  <c r="BG123" i="25"/>
  <c r="BH123" i="25"/>
  <c r="BF123" i="25"/>
  <c r="CB175" i="25"/>
  <c r="BF175" i="25"/>
  <c r="BS175" i="25"/>
  <c r="BH175" i="25"/>
  <c r="BG175" i="25"/>
  <c r="CB163" i="25"/>
  <c r="BH163" i="25"/>
  <c r="BF163" i="25"/>
  <c r="BS163" i="25"/>
  <c r="BG163" i="25"/>
  <c r="CB172" i="25"/>
  <c r="BF172" i="25"/>
  <c r="BG172" i="25"/>
  <c r="BS172" i="25"/>
  <c r="BH172" i="25"/>
  <c r="CB209" i="25"/>
  <c r="BS209" i="25"/>
  <c r="BG209" i="25"/>
  <c r="BH209" i="25"/>
  <c r="BF209" i="25"/>
  <c r="CB167" i="25"/>
  <c r="BH167" i="25"/>
  <c r="BS167" i="25"/>
  <c r="BG167" i="25"/>
  <c r="BF167" i="25"/>
  <c r="CB187" i="25"/>
  <c r="BH187" i="25"/>
  <c r="BG187" i="25"/>
  <c r="BS187" i="25"/>
  <c r="BF187" i="25"/>
  <c r="CB154" i="25"/>
  <c r="BH154" i="25"/>
  <c r="BG154" i="25"/>
  <c r="BS154" i="25"/>
  <c r="BF154" i="25"/>
  <c r="CB161" i="25"/>
  <c r="BH161" i="25"/>
  <c r="BG161" i="25"/>
  <c r="BS161" i="25"/>
  <c r="BF161" i="25"/>
  <c r="CB119" i="25"/>
  <c r="BG119" i="25"/>
  <c r="BF119" i="25"/>
  <c r="BS119" i="25"/>
  <c r="BH119" i="25"/>
  <c r="CB177" i="25"/>
  <c r="BG177" i="25"/>
  <c r="BS177" i="25"/>
  <c r="BH177" i="25"/>
  <c r="BF177" i="25"/>
  <c r="BF133" i="25"/>
  <c r="BS133" i="25"/>
  <c r="BG133" i="25"/>
  <c r="BH133" i="25"/>
  <c r="CB144" i="25"/>
  <c r="BH144" i="25"/>
  <c r="BG144" i="25"/>
  <c r="BF144" i="25"/>
  <c r="BS144" i="25"/>
  <c r="BH122" i="25"/>
  <c r="BG122" i="25"/>
  <c r="BS122" i="25"/>
  <c r="BF122" i="25"/>
  <c r="CB160" i="25"/>
  <c r="BF160" i="25"/>
  <c r="BS160" i="25"/>
  <c r="BG160" i="25"/>
  <c r="BH160" i="25"/>
  <c r="CB191" i="25"/>
  <c r="BF191" i="25"/>
  <c r="BS191" i="25"/>
  <c r="BG191" i="25"/>
  <c r="BH191" i="25"/>
  <c r="CB171" i="25"/>
  <c r="BF171" i="25"/>
  <c r="BG171" i="25"/>
  <c r="BH171" i="25"/>
  <c r="BS171" i="25"/>
  <c r="BH112" i="25"/>
  <c r="BF112" i="25"/>
  <c r="BG112" i="25"/>
  <c r="BS112" i="25"/>
  <c r="CB182" i="25"/>
  <c r="BG182" i="25"/>
  <c r="BH182" i="25"/>
  <c r="BS182" i="25"/>
  <c r="BF182" i="25"/>
  <c r="CB155" i="25"/>
  <c r="BF155" i="25"/>
  <c r="BG155" i="25"/>
  <c r="BH155" i="25"/>
  <c r="BS155" i="25"/>
  <c r="CB178" i="25"/>
  <c r="BF178" i="25"/>
  <c r="BG178" i="25"/>
  <c r="BS178" i="25"/>
  <c r="BH178" i="25"/>
  <c r="CB153" i="25"/>
  <c r="BH153" i="25"/>
  <c r="BG153" i="25"/>
  <c r="BF153" i="25"/>
  <c r="BS153" i="25"/>
  <c r="BG135" i="25"/>
  <c r="BH135" i="25"/>
  <c r="BS135" i="25"/>
  <c r="BF135" i="25"/>
  <c r="CB159" i="25"/>
  <c r="BG159" i="25"/>
  <c r="BS159" i="25"/>
  <c r="BF159" i="25"/>
  <c r="BH159" i="25"/>
  <c r="BF173" i="25"/>
  <c r="BS173" i="25"/>
  <c r="BG173" i="25"/>
  <c r="BH173" i="25"/>
  <c r="CB127" i="25"/>
  <c r="BF127" i="25"/>
  <c r="BS127" i="25"/>
  <c r="BG127" i="25"/>
  <c r="BH127" i="25"/>
  <c r="BH162" i="25"/>
  <c r="BS162" i="25"/>
  <c r="BG162" i="25"/>
  <c r="BF162" i="25"/>
  <c r="AX154" i="24"/>
  <c r="BH142" i="24"/>
  <c r="BH139" i="24"/>
  <c r="BH121" i="24"/>
  <c r="BH179" i="24"/>
  <c r="AX143" i="24"/>
  <c r="BH171" i="24"/>
  <c r="BH158" i="24"/>
  <c r="BS120" i="24"/>
  <c r="BH185" i="24"/>
  <c r="BT183" i="24"/>
  <c r="AX197" i="24"/>
  <c r="BS154" i="24"/>
  <c r="AX127" i="24"/>
  <c r="BT125" i="24"/>
  <c r="BH145" i="24"/>
  <c r="AX139" i="24"/>
  <c r="AX179" i="24"/>
  <c r="BT145" i="24"/>
  <c r="BT142" i="24"/>
  <c r="BT139" i="24"/>
  <c r="CB164" i="24"/>
  <c r="BI164" i="24"/>
  <c r="BJ164" i="24"/>
  <c r="BH164" i="24"/>
  <c r="AX164" i="24"/>
  <c r="BS164" i="24"/>
  <c r="BT164" i="24"/>
  <c r="BI175" i="24"/>
  <c r="BJ175" i="24"/>
  <c r="BS175" i="24"/>
  <c r="AX175" i="24"/>
  <c r="BT175" i="24"/>
  <c r="BH175" i="24"/>
  <c r="CB201" i="24"/>
  <c r="BI201" i="24"/>
  <c r="BJ201" i="24"/>
  <c r="AT116" i="24"/>
  <c r="BS116" i="24"/>
  <c r="BT116" i="24"/>
  <c r="BH116" i="24"/>
  <c r="AX116" i="24"/>
  <c r="BI113" i="24"/>
  <c r="BJ113" i="24"/>
  <c r="BS113" i="24"/>
  <c r="BT113" i="24"/>
  <c r="AX113" i="24"/>
  <c r="BH113" i="24"/>
  <c r="AT136" i="24"/>
  <c r="CB144" i="24"/>
  <c r="BI144" i="24"/>
  <c r="BJ144" i="24"/>
  <c r="BS144" i="24"/>
  <c r="BH144" i="24"/>
  <c r="BT144" i="24"/>
  <c r="AT148" i="24"/>
  <c r="BS148" i="24"/>
  <c r="BT148" i="24"/>
  <c r="BH148" i="24"/>
  <c r="AX148" i="24"/>
  <c r="AT169" i="24"/>
  <c r="AT181" i="24"/>
  <c r="AT208" i="24"/>
  <c r="CB190" i="24"/>
  <c r="BI190" i="24"/>
  <c r="BJ190" i="24"/>
  <c r="BS190" i="24"/>
  <c r="BT190" i="24"/>
  <c r="AX190" i="24"/>
  <c r="BH190" i="24"/>
  <c r="BI148" i="24"/>
  <c r="BJ148" i="24"/>
  <c r="CB126" i="24"/>
  <c r="BI126" i="24"/>
  <c r="BJ126" i="24"/>
  <c r="BT126" i="24"/>
  <c r="BH126" i="24"/>
  <c r="BS126" i="24"/>
  <c r="AX126" i="24"/>
  <c r="CB111" i="24"/>
  <c r="BI111" i="24"/>
  <c r="BJ111" i="24"/>
  <c r="BJ118" i="24"/>
  <c r="BI118" i="24"/>
  <c r="BT118" i="24"/>
  <c r="AX118" i="24"/>
  <c r="BS118" i="24"/>
  <c r="BH118" i="24"/>
  <c r="AQ200" i="24"/>
  <c r="BI200" i="24"/>
  <c r="BJ200" i="24"/>
  <c r="AX200" i="24"/>
  <c r="BH200" i="24"/>
  <c r="BT200" i="24"/>
  <c r="BS200" i="24"/>
  <c r="CB178" i="24"/>
  <c r="BI178" i="24"/>
  <c r="BJ178" i="24"/>
  <c r="BS178" i="24"/>
  <c r="AX178" i="24"/>
  <c r="BH178" i="24"/>
  <c r="BT178" i="24"/>
  <c r="CB197" i="24"/>
  <c r="BI197" i="24"/>
  <c r="BJ197" i="24"/>
  <c r="BJ116" i="24"/>
  <c r="BI116" i="24"/>
  <c r="AT123" i="24"/>
  <c r="AT122" i="24"/>
  <c r="CB177" i="24"/>
  <c r="BI177" i="24"/>
  <c r="BJ177" i="24"/>
  <c r="BI137" i="24"/>
  <c r="BJ137" i="24"/>
  <c r="BI143" i="24"/>
  <c r="BJ143" i="24"/>
  <c r="BI120" i="24"/>
  <c r="BJ120" i="24"/>
  <c r="BJ153" i="24"/>
  <c r="BI153" i="24"/>
  <c r="CB171" i="24"/>
  <c r="BI171" i="24"/>
  <c r="BJ171" i="24"/>
  <c r="AT172" i="24"/>
  <c r="BT121" i="24"/>
  <c r="BH120" i="24"/>
  <c r="BS177" i="24"/>
  <c r="BH137" i="24"/>
  <c r="BS197" i="24"/>
  <c r="BT127" i="24"/>
  <c r="CB160" i="24"/>
  <c r="BJ160" i="24"/>
  <c r="BI160" i="24"/>
  <c r="BH160" i="24"/>
  <c r="AX160" i="24"/>
  <c r="BT160" i="24"/>
  <c r="BS160" i="24"/>
  <c r="BI135" i="24"/>
  <c r="BJ135" i="24"/>
  <c r="BS135" i="24"/>
  <c r="AX135" i="24"/>
  <c r="BT135" i="24"/>
  <c r="BH135" i="24"/>
  <c r="CB154" i="24"/>
  <c r="BI154" i="24"/>
  <c r="BJ154" i="24"/>
  <c r="AT115" i="24"/>
  <c r="CB125" i="24"/>
  <c r="BI125" i="24"/>
  <c r="BJ125" i="24"/>
  <c r="CB187" i="24"/>
  <c r="BI187" i="24"/>
  <c r="BJ187" i="24"/>
  <c r="CB183" i="24"/>
  <c r="BI183" i="24"/>
  <c r="BJ183" i="24"/>
  <c r="CB179" i="24"/>
  <c r="BI179" i="24"/>
  <c r="BJ179" i="24"/>
  <c r="CB151" i="24"/>
  <c r="BJ151" i="24"/>
  <c r="BI151" i="24"/>
  <c r="CB185" i="24"/>
  <c r="BI185" i="24"/>
  <c r="BJ185" i="24"/>
  <c r="BI158" i="24"/>
  <c r="BJ158" i="24"/>
  <c r="AT157" i="24"/>
  <c r="AT201" i="24"/>
  <c r="BS201" i="24"/>
  <c r="AX201" i="24"/>
  <c r="BT201" i="24"/>
  <c r="BH201" i="24"/>
  <c r="AT153" i="24"/>
  <c r="BS153" i="24"/>
  <c r="BT153" i="24"/>
  <c r="AX153" i="24"/>
  <c r="BH153" i="24"/>
  <c r="AT195" i="24"/>
  <c r="BT171" i="24"/>
  <c r="AX121" i="24"/>
  <c r="AX158" i="24"/>
  <c r="BS158" i="24"/>
  <c r="BT120" i="24"/>
  <c r="BH111" i="24"/>
  <c r="BS111" i="24"/>
  <c r="BS185" i="24"/>
  <c r="AX151" i="24"/>
  <c r="BS151" i="24"/>
  <c r="BH177" i="24"/>
  <c r="BT177" i="24"/>
  <c r="BH183" i="24"/>
  <c r="BS183" i="24"/>
  <c r="AX142" i="24"/>
  <c r="BT137" i="24"/>
  <c r="BS137" i="24"/>
  <c r="BT197" i="24"/>
  <c r="BT179" i="24"/>
  <c r="BT154" i="24"/>
  <c r="BS143" i="24"/>
  <c r="BS125" i="24"/>
  <c r="AX145" i="24"/>
  <c r="CB121" i="24"/>
  <c r="BI121" i="24"/>
  <c r="BJ121" i="24"/>
  <c r="BI138" i="24"/>
  <c r="BJ138" i="24"/>
  <c r="BT138" i="24"/>
  <c r="BS138" i="24"/>
  <c r="BH138" i="24"/>
  <c r="AX138" i="24"/>
  <c r="CB140" i="24"/>
  <c r="BJ140" i="24"/>
  <c r="BI140" i="24"/>
  <c r="BH140" i="24"/>
  <c r="AX140" i="24"/>
  <c r="BS140" i="24"/>
  <c r="BT140" i="24"/>
  <c r="CB202" i="24"/>
  <c r="BI202" i="24"/>
  <c r="BJ202" i="24"/>
  <c r="BS202" i="24"/>
  <c r="AX202" i="24"/>
  <c r="BT202" i="24"/>
  <c r="BH202" i="24"/>
  <c r="CB173" i="24"/>
  <c r="BI173" i="24"/>
  <c r="BJ173" i="24"/>
  <c r="AX173" i="24"/>
  <c r="BT173" i="24"/>
  <c r="BS173" i="24"/>
  <c r="BH173" i="24"/>
  <c r="CB129" i="24"/>
  <c r="BI129" i="24"/>
  <c r="BJ129" i="24"/>
  <c r="BH129" i="24"/>
  <c r="BS129" i="24"/>
  <c r="AX129" i="24"/>
  <c r="BT129" i="24"/>
  <c r="CB124" i="24"/>
  <c r="BJ124" i="24"/>
  <c r="BI124" i="24"/>
  <c r="BT124" i="24"/>
  <c r="BH124" i="24"/>
  <c r="AX124" i="24"/>
  <c r="BS124" i="24"/>
  <c r="CB127" i="24"/>
  <c r="BI127" i="24"/>
  <c r="BJ127" i="24"/>
  <c r="CB180" i="24"/>
  <c r="BJ180" i="24"/>
  <c r="BI180" i="24"/>
  <c r="BT180" i="24"/>
  <c r="AX180" i="24"/>
  <c r="BH180" i="24"/>
  <c r="BS180" i="24"/>
  <c r="BI145" i="24"/>
  <c r="BJ145" i="24"/>
  <c r="CB142" i="24"/>
  <c r="BI142" i="24"/>
  <c r="BJ142" i="24"/>
  <c r="AT112" i="24"/>
  <c r="CB139" i="24"/>
  <c r="BI139" i="24"/>
  <c r="BJ139" i="24"/>
  <c r="AT155" i="24"/>
  <c r="AT210" i="24"/>
  <c r="AT187" i="24"/>
  <c r="BS187" i="24"/>
  <c r="BH187" i="24"/>
  <c r="BT187" i="24"/>
  <c r="AX187" i="24"/>
  <c r="AT207" i="24"/>
  <c r="BS171" i="24"/>
  <c r="BT111" i="24"/>
  <c r="AX185" i="24"/>
  <c r="AX177" i="24"/>
  <c r="AX137" i="24"/>
  <c r="BH127" i="24"/>
  <c r="BH143" i="24"/>
  <c r="AX125" i="24"/>
  <c r="AN165" i="24"/>
  <c r="AQ165" i="24" s="1"/>
  <c r="BT56" i="24"/>
  <c r="BT74" i="24"/>
  <c r="AK152" i="24"/>
  <c r="AV15" i="24"/>
  <c r="AV33" i="24"/>
  <c r="AV41" i="24"/>
  <c r="AV64" i="24"/>
  <c r="AV46" i="24"/>
  <c r="BT46" i="24"/>
  <c r="AV63" i="24"/>
  <c r="BT63" i="24"/>
  <c r="BT89" i="24"/>
  <c r="AV92" i="24"/>
  <c r="BT92" i="24"/>
  <c r="AV79" i="24"/>
  <c r="BT79" i="24"/>
  <c r="AV34" i="24"/>
  <c r="AV11" i="24"/>
  <c r="AV99" i="24"/>
  <c r="AT8" i="24"/>
  <c r="BA8" i="24" s="1"/>
  <c r="AV28" i="24"/>
  <c r="BT28" i="24"/>
  <c r="AV31" i="24"/>
  <c r="BT31" i="24"/>
  <c r="AV18" i="24"/>
  <c r="BT18" i="24"/>
  <c r="AV96" i="24"/>
  <c r="BT96" i="24"/>
  <c r="AV55" i="24"/>
  <c r="BT100" i="24"/>
  <c r="AV49" i="24"/>
  <c r="AV43" i="24"/>
  <c r="AV35" i="24"/>
  <c r="AV29" i="24"/>
  <c r="BT29" i="24"/>
  <c r="AV21" i="24"/>
  <c r="BT21" i="24"/>
  <c r="AV51" i="24"/>
  <c r="AV72" i="24"/>
  <c r="BT72" i="24"/>
  <c r="BT83" i="24"/>
  <c r="AV19" i="24"/>
  <c r="BT19" i="24"/>
  <c r="AT13" i="24"/>
  <c r="BA13" i="24" s="1"/>
  <c r="AV40" i="24"/>
  <c r="BT40" i="24"/>
  <c r="AV59" i="24"/>
  <c r="BT59" i="24"/>
  <c r="AV54" i="24"/>
  <c r="BT54" i="24"/>
  <c r="AV68" i="24"/>
  <c r="BT68" i="24"/>
  <c r="AV82" i="24"/>
  <c r="BT82" i="24"/>
  <c r="AV97" i="24"/>
  <c r="BT32" i="24"/>
  <c r="BT53" i="24"/>
  <c r="AK172" i="24"/>
  <c r="AT79" i="24"/>
  <c r="BA79" i="24" s="1"/>
  <c r="AN152" i="24"/>
  <c r="AK70" i="24"/>
  <c r="AK253" i="24"/>
  <c r="AN278" i="24"/>
  <c r="CB278" i="24" s="1"/>
  <c r="AN305" i="24"/>
  <c r="AQ305" i="24" s="1"/>
  <c r="AN182" i="24"/>
  <c r="AK281" i="24"/>
  <c r="AK313" i="24"/>
  <c r="AN70" i="24"/>
  <c r="AN78" i="24"/>
  <c r="AN193" i="24"/>
  <c r="AQ104" i="24"/>
  <c r="CB104" i="24"/>
  <c r="AK277" i="24"/>
  <c r="BF32" i="25"/>
  <c r="CB32" i="25"/>
  <c r="AX36" i="24"/>
  <c r="CB36" i="24"/>
  <c r="AN237" i="24"/>
  <c r="AS237" i="24" s="1"/>
  <c r="AK246" i="24"/>
  <c r="AK190" i="24"/>
  <c r="CB78" i="24"/>
  <c r="AX42" i="24"/>
  <c r="CB42" i="24"/>
  <c r="AK115" i="24"/>
  <c r="AK137" i="24"/>
  <c r="AN238" i="24"/>
  <c r="AQ238" i="24" s="1"/>
  <c r="AK154" i="24"/>
  <c r="AN260" i="24"/>
  <c r="AQ260" i="24" s="1"/>
  <c r="AK263" i="24"/>
  <c r="AK280" i="24"/>
  <c r="AK207" i="24"/>
  <c r="AK260" i="24"/>
  <c r="AK195" i="24"/>
  <c r="AJ103" i="24"/>
  <c r="AK193" i="24"/>
  <c r="AN128" i="24"/>
  <c r="AN132" i="24"/>
  <c r="AK289" i="24"/>
  <c r="AN191" i="24"/>
  <c r="AK157" i="24"/>
  <c r="AK262" i="24"/>
  <c r="AK132" i="24"/>
  <c r="AN262" i="24"/>
  <c r="AS262" i="24" s="1"/>
  <c r="AK169" i="24"/>
  <c r="AN189" i="24"/>
  <c r="AN311" i="24"/>
  <c r="AQ311" i="24" s="1"/>
  <c r="AK248" i="24"/>
  <c r="AK114" i="24"/>
  <c r="AK270" i="24"/>
  <c r="AK210" i="24"/>
  <c r="AN255" i="24"/>
  <c r="CB255" i="24" s="1"/>
  <c r="AN146" i="24"/>
  <c r="AK312" i="24"/>
  <c r="AN217" i="24"/>
  <c r="CB217" i="24" s="1"/>
  <c r="AK283" i="24"/>
  <c r="AJ81" i="24"/>
  <c r="AJ75" i="24"/>
  <c r="AJ93" i="24"/>
  <c r="AK242" i="24"/>
  <c r="AK196" i="24"/>
  <c r="AN147" i="24"/>
  <c r="AN312" i="24"/>
  <c r="AQ312" i="24" s="1"/>
  <c r="AN291" i="24"/>
  <c r="CB291" i="24" s="1"/>
  <c r="AK249" i="24"/>
  <c r="AN263" i="24"/>
  <c r="AS263" i="24" s="1"/>
  <c r="AN289" i="24"/>
  <c r="AK244" i="24"/>
  <c r="AK261" i="24"/>
  <c r="AK158" i="24"/>
  <c r="AK183" i="24"/>
  <c r="AK191" i="24"/>
  <c r="AK56" i="24"/>
  <c r="AJ98" i="24"/>
  <c r="AN73" i="24"/>
  <c r="BT73" i="24" s="1"/>
  <c r="AK269" i="24"/>
  <c r="AK252" i="24"/>
  <c r="AN170" i="24"/>
  <c r="AX63" i="24"/>
  <c r="AN55" i="24"/>
  <c r="BS55" i="24" s="1"/>
  <c r="AN159" i="24"/>
  <c r="AN25" i="24"/>
  <c r="AK189" i="24"/>
  <c r="AK162" i="24"/>
  <c r="AN295" i="24"/>
  <c r="AQ295" i="24" s="1"/>
  <c r="AK142" i="24"/>
  <c r="AK174" i="24"/>
  <c r="AN33" i="24"/>
  <c r="AX33" i="24" s="1"/>
  <c r="AN167" i="24"/>
  <c r="AN168" i="24"/>
  <c r="AN122" i="24"/>
  <c r="BS122" i="24" s="1"/>
  <c r="AN166" i="24"/>
  <c r="AN242" i="24"/>
  <c r="AQ242" i="24" s="1"/>
  <c r="AK97" i="24"/>
  <c r="AN265" i="24"/>
  <c r="CB265" i="24" s="1"/>
  <c r="AK185" i="24"/>
  <c r="AT97" i="24"/>
  <c r="BA97" i="24" s="1"/>
  <c r="AN269" i="24"/>
  <c r="AS269" i="24" s="1"/>
  <c r="AN226" i="24"/>
  <c r="AQ226" i="24" s="1"/>
  <c r="AK147" i="24"/>
  <c r="AK155" i="24"/>
  <c r="AK92" i="24"/>
  <c r="AT92" i="24"/>
  <c r="BA92" i="24" s="1"/>
  <c r="AK171" i="24"/>
  <c r="AN130" i="24"/>
  <c r="AJ67" i="24"/>
  <c r="AJ84" i="24"/>
  <c r="AJ76" i="24"/>
  <c r="AK166" i="24"/>
  <c r="AX68" i="24"/>
  <c r="AT68" i="24"/>
  <c r="BA68" i="24" s="1"/>
  <c r="AK257" i="24"/>
  <c r="AK267" i="24"/>
  <c r="AJ66" i="24"/>
  <c r="AJ44" i="24"/>
  <c r="AT82" i="24"/>
  <c r="BA82" i="24" s="1"/>
  <c r="AN114" i="24"/>
  <c r="AK290" i="24"/>
  <c r="AN150" i="24"/>
  <c r="AK282" i="24"/>
  <c r="AK299" i="24"/>
  <c r="AN198" i="24"/>
  <c r="AK153" i="24"/>
  <c r="AK120" i="24"/>
  <c r="AN176" i="24"/>
  <c r="AK143" i="24"/>
  <c r="AN308" i="24"/>
  <c r="AQ308" i="24" s="1"/>
  <c r="AN206" i="24"/>
  <c r="AN117" i="24"/>
  <c r="AT59" i="24"/>
  <c r="BA59" i="24" s="1"/>
  <c r="AK139" i="24"/>
  <c r="AK168" i="24"/>
  <c r="AN156" i="24"/>
  <c r="AN204" i="24"/>
  <c r="AK151" i="24"/>
  <c r="AN231" i="24"/>
  <c r="AS231" i="24" s="1"/>
  <c r="BH46" i="24"/>
  <c r="AN232" i="24"/>
  <c r="AQ232" i="24" s="1"/>
  <c r="AN195" i="24"/>
  <c r="BH195" i="24" s="1"/>
  <c r="AK144" i="24"/>
  <c r="AT46" i="24"/>
  <c r="BA46" i="24" s="1"/>
  <c r="AT63" i="24"/>
  <c r="BA63" i="24" s="1"/>
  <c r="AK25" i="24"/>
  <c r="AK51" i="24"/>
  <c r="AK298" i="24"/>
  <c r="AT51" i="24"/>
  <c r="BA51" i="24" s="1"/>
  <c r="AK276" i="24"/>
  <c r="AN296" i="24"/>
  <c r="AS296" i="24" s="1"/>
  <c r="AN306" i="24"/>
  <c r="AK89" i="24"/>
  <c r="AK225" i="24"/>
  <c r="AV88" i="24"/>
  <c r="AT88" i="24"/>
  <c r="BA88" i="24" s="1"/>
  <c r="AN10" i="24"/>
  <c r="AN284" i="24"/>
  <c r="AQ284" i="24" s="1"/>
  <c r="AJ77" i="24"/>
  <c r="AN174" i="24"/>
  <c r="AT40" i="24"/>
  <c r="BA40" i="24" s="1"/>
  <c r="AN225" i="24"/>
  <c r="AQ225" i="24" s="1"/>
  <c r="AN133" i="24"/>
  <c r="AT72" i="24"/>
  <c r="BA72" i="24" s="1"/>
  <c r="AJ71" i="24"/>
  <c r="AT54" i="24"/>
  <c r="BA54" i="24" s="1"/>
  <c r="AV89" i="24"/>
  <c r="AT89" i="24"/>
  <c r="BA89" i="24" s="1"/>
  <c r="AJ80" i="24"/>
  <c r="AJ90" i="24"/>
  <c r="AJ39" i="24"/>
  <c r="AK112" i="24"/>
  <c r="AK113" i="24"/>
  <c r="AJ57" i="24"/>
  <c r="AJ62" i="24"/>
  <c r="AK64" i="24"/>
  <c r="AT64" i="24"/>
  <c r="BA64" i="24" s="1"/>
  <c r="AN162" i="24"/>
  <c r="AN209" i="24"/>
  <c r="AK179" i="24"/>
  <c r="AV61" i="24"/>
  <c r="AT61" i="24"/>
  <c r="BA61" i="24" s="1"/>
  <c r="AJ38" i="24"/>
  <c r="AT43" i="24"/>
  <c r="BA43" i="24" s="1"/>
  <c r="AJ45" i="24"/>
  <c r="AK136" i="24"/>
  <c r="AN188" i="24"/>
  <c r="AJ48" i="24"/>
  <c r="AJ52" i="24"/>
  <c r="AN119" i="24"/>
  <c r="AK145" i="24"/>
  <c r="AK167" i="24"/>
  <c r="BH40" i="24"/>
  <c r="AK41" i="24"/>
  <c r="AN141" i="24"/>
  <c r="AN184" i="24"/>
  <c r="AN95" i="24"/>
  <c r="CB95" i="24" s="1"/>
  <c r="AK46" i="24"/>
  <c r="AT41" i="24"/>
  <c r="BA41" i="24" s="1"/>
  <c r="AN112" i="24"/>
  <c r="AN196" i="24"/>
  <c r="AN208" i="24"/>
  <c r="BT208" i="24" s="1"/>
  <c r="AN101" i="24"/>
  <c r="AK54" i="24"/>
  <c r="AN60" i="24"/>
  <c r="BT60" i="24" s="1"/>
  <c r="AN181" i="24"/>
  <c r="BS181" i="24" s="1"/>
  <c r="AN157" i="24"/>
  <c r="BT157" i="24" s="1"/>
  <c r="AK36" i="24"/>
  <c r="AN23" i="24"/>
  <c r="AN205" i="24"/>
  <c r="AN199" i="24"/>
  <c r="AK96" i="24"/>
  <c r="AN97" i="24"/>
  <c r="CB97" i="24" s="1"/>
  <c r="AN51" i="24"/>
  <c r="BT51" i="24" s="1"/>
  <c r="AN105" i="24"/>
  <c r="AK85" i="24"/>
  <c r="AK100" i="24"/>
  <c r="AK148" i="24"/>
  <c r="AN192" i="24"/>
  <c r="AN186" i="24"/>
  <c r="AT21" i="24"/>
  <c r="BA21" i="24" s="1"/>
  <c r="AN203" i="24"/>
  <c r="AK177" i="24"/>
  <c r="AV13" i="24"/>
  <c r="AN41" i="24"/>
  <c r="BH41" i="24" s="1"/>
  <c r="AN210" i="24"/>
  <c r="AX210" i="24" s="1"/>
  <c r="AK187" i="24"/>
  <c r="AK122" i="24"/>
  <c r="AT31" i="24"/>
  <c r="BA31" i="24" s="1"/>
  <c r="AN14" i="24"/>
  <c r="AN172" i="24"/>
  <c r="BH172" i="24" s="1"/>
  <c r="AN131" i="24"/>
  <c r="AK159" i="24"/>
  <c r="AT18" i="24"/>
  <c r="BA18" i="24" s="1"/>
  <c r="AK82" i="24"/>
  <c r="AX31" i="24"/>
  <c r="AK18" i="24"/>
  <c r="AN115" i="24"/>
  <c r="BT115" i="24" s="1"/>
  <c r="AK40" i="24"/>
  <c r="AK42" i="24"/>
  <c r="AK79" i="24"/>
  <c r="AN149" i="24"/>
  <c r="AK23" i="24"/>
  <c r="AK125" i="24"/>
  <c r="AN161" i="24"/>
  <c r="AN155" i="24"/>
  <c r="BH155" i="24" s="1"/>
  <c r="AN207" i="24"/>
  <c r="BT207" i="24" s="1"/>
  <c r="AN163" i="24"/>
  <c r="AN136" i="24"/>
  <c r="AK21" i="24"/>
  <c r="AK72" i="24"/>
  <c r="BH21" i="24"/>
  <c r="CB70" i="24"/>
  <c r="AT33" i="24"/>
  <c r="BA33" i="24" s="1"/>
  <c r="AN27" i="24"/>
  <c r="AX92" i="24"/>
  <c r="CB92" i="24"/>
  <c r="AN64" i="24"/>
  <c r="BH64" i="24" s="1"/>
  <c r="AT19" i="24"/>
  <c r="BA19" i="24" s="1"/>
  <c r="AK29" i="24"/>
  <c r="AK55" i="24"/>
  <c r="AN86" i="24"/>
  <c r="BH19" i="24"/>
  <c r="AN87" i="24"/>
  <c r="AK28" i="24"/>
  <c r="AG65" i="24"/>
  <c r="AN65" i="24" s="1"/>
  <c r="BI65" i="24" s="1"/>
  <c r="AN169" i="24"/>
  <c r="AX169" i="24" s="1"/>
  <c r="AN50" i="24"/>
  <c r="CB50" i="24" s="1"/>
  <c r="AK33" i="24"/>
  <c r="AG71" i="24"/>
  <c r="AK123" i="24"/>
  <c r="AT15" i="24"/>
  <c r="BA15" i="24" s="1"/>
  <c r="AN134" i="24"/>
  <c r="BF90" i="25"/>
  <c r="CB90" i="25"/>
  <c r="AT29" i="24"/>
  <c r="BA29" i="24" s="1"/>
  <c r="AG13" i="24"/>
  <c r="AK13" i="24" s="1"/>
  <c r="AK116" i="24"/>
  <c r="AN194" i="24"/>
  <c r="AV8" i="24"/>
  <c r="BH28" i="24"/>
  <c r="AK201" i="24"/>
  <c r="AN123" i="24"/>
  <c r="BT123" i="24" s="1"/>
  <c r="AK31" i="24"/>
  <c r="AK53" i="24"/>
  <c r="AT28" i="24"/>
  <c r="BA28" i="24" s="1"/>
  <c r="AN91" i="24"/>
  <c r="AK63" i="24"/>
  <c r="AK68" i="24"/>
  <c r="AK59" i="24"/>
  <c r="AF43" i="24"/>
  <c r="AK43" i="24" s="1"/>
  <c r="AK19" i="24"/>
  <c r="AK32" i="24"/>
  <c r="AT49" i="24"/>
  <c r="BA49" i="24" s="1"/>
  <c r="AG49" i="24"/>
  <c r="AK49" i="24" s="1"/>
  <c r="AV37" i="24"/>
  <c r="AT37" i="24"/>
  <c r="BA37" i="24" s="1"/>
  <c r="BS104" i="24"/>
  <c r="AX104" i="24"/>
  <c r="BI104" i="24"/>
  <c r="AN69" i="24"/>
  <c r="AK104" i="24"/>
  <c r="AG102" i="24"/>
  <c r="AJ22" i="24"/>
  <c r="AT34" i="24"/>
  <c r="BA34" i="24" s="1"/>
  <c r="AG48" i="24"/>
  <c r="BH104" i="24"/>
  <c r="AV65" i="24"/>
  <c r="AT65" i="24"/>
  <c r="BA65" i="24" s="1"/>
  <c r="AS104" i="24"/>
  <c r="AU104" i="24" s="1"/>
  <c r="BB104" i="24" s="1"/>
  <c r="AG22" i="24"/>
  <c r="AN22" i="24" s="1"/>
  <c r="AV102" i="24"/>
  <c r="AT102" i="24"/>
  <c r="BA102" i="24" s="1"/>
  <c r="BJ104" i="24"/>
  <c r="AG81" i="24"/>
  <c r="AN81" i="24" s="1"/>
  <c r="CB81" i="24" s="1"/>
  <c r="AG15" i="24"/>
  <c r="AK15" i="24" s="1"/>
  <c r="AG34" i="24"/>
  <c r="AN34" i="24" s="1"/>
  <c r="AX34" i="24" s="1"/>
  <c r="AG93" i="24"/>
  <c r="AJ12" i="24"/>
  <c r="AG37" i="24"/>
  <c r="AF37" i="24"/>
  <c r="AJ20" i="24"/>
  <c r="AF8" i="24"/>
  <c r="AG8" i="24"/>
  <c r="AA94" i="24"/>
  <c r="AB94" i="24" s="1"/>
  <c r="AC94" i="24" s="1"/>
  <c r="AJ94" i="24" s="1"/>
  <c r="AG94" i="24"/>
  <c r="AV6" i="24"/>
  <c r="AT6" i="24"/>
  <c r="BA6" i="24" s="1"/>
  <c r="AT35" i="24"/>
  <c r="BA35" i="24" s="1"/>
  <c r="AT99" i="24"/>
  <c r="BA99" i="24" s="1"/>
  <c r="AJ7" i="24"/>
  <c r="AT11" i="24"/>
  <c r="BA11" i="24" s="1"/>
  <c r="AV58" i="24"/>
  <c r="AT58" i="24"/>
  <c r="BA58" i="24" s="1"/>
  <c r="AF11" i="24"/>
  <c r="AG11" i="24"/>
  <c r="AF57" i="24"/>
  <c r="AG57" i="24"/>
  <c r="AG88" i="24"/>
  <c r="AK88" i="24" s="1"/>
  <c r="AG16" i="24"/>
  <c r="AF16" i="24"/>
  <c r="AF67" i="24"/>
  <c r="AG67" i="24"/>
  <c r="AF39" i="24"/>
  <c r="AG39" i="24"/>
  <c r="AF99" i="24"/>
  <c r="AG99" i="24"/>
  <c r="AF47" i="24"/>
  <c r="AG47" i="24"/>
  <c r="AJ9" i="24"/>
  <c r="AF12" i="24"/>
  <c r="AG12" i="24"/>
  <c r="AF58" i="24"/>
  <c r="AG58" i="24"/>
  <c r="AF76" i="24"/>
  <c r="AG76" i="24"/>
  <c r="AG24" i="24"/>
  <c r="AF24" i="24"/>
  <c r="AF30" i="24"/>
  <c r="AG30" i="24"/>
  <c r="AG61" i="24"/>
  <c r="AF17" i="24"/>
  <c r="AG17" i="24"/>
  <c r="AG77" i="24"/>
  <c r="AF77" i="24"/>
  <c r="AF84" i="24"/>
  <c r="AG84" i="24"/>
  <c r="AF80" i="24"/>
  <c r="AG80" i="24"/>
  <c r="AG75" i="24"/>
  <c r="AF75" i="24"/>
  <c r="AF20" i="24"/>
  <c r="AG20" i="24"/>
  <c r="AA26" i="24"/>
  <c r="AB26" i="24" s="1"/>
  <c r="AC26" i="24" s="1"/>
  <c r="AJ26" i="24" s="1"/>
  <c r="AG26" i="24"/>
  <c r="AG45" i="24"/>
  <c r="AF45" i="24"/>
  <c r="AF52" i="24"/>
  <c r="AG52" i="24"/>
  <c r="AG9" i="24"/>
  <c r="AF9" i="24"/>
  <c r="AG35" i="24"/>
  <c r="AN35" i="24" s="1"/>
  <c r="BH35" i="24" s="1"/>
  <c r="AJ16" i="24"/>
  <c r="AJ17" i="24"/>
  <c r="AG66" i="24"/>
  <c r="AF66" i="24"/>
  <c r="AJ24" i="24"/>
  <c r="AG38" i="24"/>
  <c r="AF38" i="24"/>
  <c r="AJ30" i="24"/>
  <c r="AG103" i="24"/>
  <c r="AF103" i="24"/>
  <c r="AV47" i="24"/>
  <c r="AT47" i="24"/>
  <c r="BA47" i="24" s="1"/>
  <c r="AG90" i="24"/>
  <c r="AF90" i="24"/>
  <c r="AF62" i="24"/>
  <c r="AG62" i="24"/>
  <c r="AG98" i="24"/>
  <c r="AF98" i="24"/>
  <c r="AG44" i="24"/>
  <c r="AF6" i="24"/>
  <c r="AG6" i="24"/>
  <c r="AF7" i="24"/>
  <c r="AG7" i="24"/>
  <c r="AX54" i="24"/>
  <c r="AX72" i="24"/>
  <c r="BS85" i="24"/>
  <c r="AX85" i="24"/>
  <c r="AX82" i="24"/>
  <c r="AX74" i="24"/>
  <c r="AX59" i="24"/>
  <c r="AX96" i="24"/>
  <c r="AX28" i="24"/>
  <c r="AX89" i="24"/>
  <c r="AX79" i="24"/>
  <c r="AX18" i="24"/>
  <c r="AX40" i="24"/>
  <c r="AX19" i="24"/>
  <c r="AX21" i="24"/>
  <c r="AX29" i="24"/>
  <c r="AX46" i="24"/>
  <c r="AU5" i="24"/>
  <c r="BB5" i="24" s="1"/>
  <c r="BS72" i="25"/>
  <c r="CB72" i="25"/>
  <c r="AN110" i="24"/>
  <c r="BS98" i="25"/>
  <c r="CB98" i="25"/>
  <c r="BS58" i="25"/>
  <c r="CB58" i="25"/>
  <c r="BS74" i="25"/>
  <c r="CB74" i="25"/>
  <c r="AW5" i="24"/>
  <c r="AY5" i="24" s="1"/>
  <c r="AZ5" i="24" s="1"/>
  <c r="BF39" i="25"/>
  <c r="CB39" i="25"/>
  <c r="AM110" i="25"/>
  <c r="BT110" i="25" s="1"/>
  <c r="BF84" i="25"/>
  <c r="CB84" i="25"/>
  <c r="BF33" i="25"/>
  <c r="CB33" i="25"/>
  <c r="BS55" i="25"/>
  <c r="CB55" i="25"/>
  <c r="BS75" i="25"/>
  <c r="CB75" i="25"/>
  <c r="BF60" i="25"/>
  <c r="CB60" i="25"/>
  <c r="AS5" i="25"/>
  <c r="AW5" i="25" s="1"/>
  <c r="BF43" i="25"/>
  <c r="CB43" i="25"/>
  <c r="BS53" i="24"/>
  <c r="BH36" i="24"/>
  <c r="BF50" i="25"/>
  <c r="CB50" i="25"/>
  <c r="BS25" i="25"/>
  <c r="CB25" i="25"/>
  <c r="BS65" i="25"/>
  <c r="CB65" i="25"/>
  <c r="AJ5" i="25"/>
  <c r="AM5" i="25"/>
  <c r="BT5" i="25" s="1"/>
  <c r="BF46" i="25"/>
  <c r="CB46" i="25"/>
  <c r="AW40" i="25"/>
  <c r="AW17" i="25"/>
  <c r="L20" i="1"/>
  <c r="AW96" i="25"/>
  <c r="AW28" i="25"/>
  <c r="AW100" i="25"/>
  <c r="AW22" i="25"/>
  <c r="AW54" i="25"/>
  <c r="AW61" i="25"/>
  <c r="AW91" i="25"/>
  <c r="AW14" i="25"/>
  <c r="AW24" i="25"/>
  <c r="AW35" i="25"/>
  <c r="AW76" i="25"/>
  <c r="AW31" i="25"/>
  <c r="AW41" i="25"/>
  <c r="AW12" i="25"/>
  <c r="AW42" i="25"/>
  <c r="AW27" i="25"/>
  <c r="AW88" i="25"/>
  <c r="AW6" i="25"/>
  <c r="AW64" i="25"/>
  <c r="AW87" i="25"/>
  <c r="AW36" i="25"/>
  <c r="AW103" i="25"/>
  <c r="AW63" i="25"/>
  <c r="AW62" i="25"/>
  <c r="AW56" i="25"/>
  <c r="AW68" i="25"/>
  <c r="AW94" i="25"/>
  <c r="AW59" i="25"/>
  <c r="AW9" i="25"/>
  <c r="AW26" i="25"/>
  <c r="AW81" i="25"/>
  <c r="AW30" i="25"/>
  <c r="AW11" i="25"/>
  <c r="AW101" i="25"/>
  <c r="AW47" i="25"/>
  <c r="AW37" i="25"/>
  <c r="AW83" i="25"/>
  <c r="AW51" i="25"/>
  <c r="AW86" i="25"/>
  <c r="AW52" i="25"/>
  <c r="AW8" i="25"/>
  <c r="AW71" i="25"/>
  <c r="AW29" i="25"/>
  <c r="AW79" i="25"/>
  <c r="AW78" i="25"/>
  <c r="AW15" i="25"/>
  <c r="AW53" i="25"/>
  <c r="AW48" i="25"/>
  <c r="AW93" i="25"/>
  <c r="AW97" i="25"/>
  <c r="AW21" i="25"/>
  <c r="AW38" i="25"/>
  <c r="AW20" i="25"/>
  <c r="AW92" i="25"/>
  <c r="AW67" i="25"/>
  <c r="AW70" i="25"/>
  <c r="AW105" i="25"/>
  <c r="B94" i="2" s="1"/>
  <c r="E20" i="1" s="1"/>
  <c r="AW49" i="25"/>
  <c r="AW82" i="25"/>
  <c r="AW69" i="25"/>
  <c r="AW44" i="25"/>
  <c r="AW104" i="25"/>
  <c r="AW13" i="25"/>
  <c r="AW102" i="25"/>
  <c r="BS95" i="25"/>
  <c r="CB95" i="25"/>
  <c r="AP216" i="25"/>
  <c r="AR216" i="25"/>
  <c r="BS80" i="25"/>
  <c r="CB80" i="25"/>
  <c r="BS7" i="25"/>
  <c r="BS18" i="25"/>
  <c r="BF66" i="25"/>
  <c r="BF75" i="25"/>
  <c r="BF72" i="25"/>
  <c r="BS90" i="25"/>
  <c r="BF89" i="25"/>
  <c r="BS33" i="25"/>
  <c r="BF16" i="25"/>
  <c r="BS50" i="25"/>
  <c r="BF58" i="25"/>
  <c r="BS32" i="25"/>
  <c r="BF95" i="25"/>
  <c r="BS39" i="25"/>
  <c r="BS46" i="25"/>
  <c r="BS43" i="25"/>
  <c r="AR206" i="25"/>
  <c r="AP206" i="25"/>
  <c r="AW77" i="25"/>
  <c r="AR193" i="25"/>
  <c r="AP193" i="25"/>
  <c r="AR164" i="25"/>
  <c r="AP164" i="25"/>
  <c r="AR231" i="25"/>
  <c r="AP231" i="25"/>
  <c r="AR27" i="25"/>
  <c r="BG27" i="25"/>
  <c r="BH27" i="25"/>
  <c r="AP27" i="25"/>
  <c r="BS27" i="25"/>
  <c r="BF27" i="25"/>
  <c r="AR73" i="25"/>
  <c r="AT73" i="25" s="1"/>
  <c r="AY73" i="25" s="1"/>
  <c r="BG73" i="25"/>
  <c r="BH73" i="25"/>
  <c r="AP73" i="25"/>
  <c r="AR230" i="25"/>
  <c r="AP230" i="25"/>
  <c r="AR118" i="25"/>
  <c r="AP118" i="25"/>
  <c r="AR8" i="25"/>
  <c r="BG8" i="25"/>
  <c r="BH8" i="25"/>
  <c r="AP8" i="25"/>
  <c r="BS8" i="25"/>
  <c r="BF8" i="25"/>
  <c r="AR40" i="25"/>
  <c r="BG40" i="25"/>
  <c r="BH40" i="25"/>
  <c r="AP40" i="25"/>
  <c r="BF40" i="25"/>
  <c r="BS40" i="25"/>
  <c r="AR125" i="25"/>
  <c r="AP125" i="25"/>
  <c r="AR307" i="25"/>
  <c r="AP307" i="25"/>
  <c r="AR137" i="25"/>
  <c r="AP137" i="25"/>
  <c r="AR247" i="25"/>
  <c r="AP247" i="25"/>
  <c r="AR145" i="25"/>
  <c r="AP145" i="25"/>
  <c r="AR202" i="25"/>
  <c r="AP202" i="25"/>
  <c r="AR267" i="25"/>
  <c r="AP267" i="25"/>
  <c r="AR79" i="25"/>
  <c r="BG79" i="25"/>
  <c r="BH79" i="25"/>
  <c r="AP79" i="25"/>
  <c r="BF79" i="25"/>
  <c r="BS79" i="25"/>
  <c r="AW72" i="25"/>
  <c r="AR285" i="25"/>
  <c r="AP285" i="25"/>
  <c r="AR120" i="25"/>
  <c r="AP120" i="25"/>
  <c r="AR176" i="25"/>
  <c r="AP176" i="25"/>
  <c r="AR271" i="25"/>
  <c r="AP271" i="25"/>
  <c r="AW18" i="25"/>
  <c r="AR229" i="25"/>
  <c r="AP229" i="25"/>
  <c r="AR165" i="25"/>
  <c r="AP165" i="25"/>
  <c r="AR70" i="25"/>
  <c r="BG70" i="25"/>
  <c r="BH70" i="25"/>
  <c r="AP70" i="25"/>
  <c r="BF70" i="25"/>
  <c r="BS70" i="25"/>
  <c r="AR228" i="25"/>
  <c r="AP228" i="25"/>
  <c r="AW73" i="25"/>
  <c r="AR166" i="25"/>
  <c r="AP166" i="25"/>
  <c r="AR196" i="25"/>
  <c r="AP196" i="25"/>
  <c r="AR170" i="25"/>
  <c r="AP170" i="25"/>
  <c r="AR244" i="25"/>
  <c r="AP244" i="25"/>
  <c r="AR143" i="25"/>
  <c r="AP143" i="25"/>
  <c r="AR81" i="25"/>
  <c r="BG81" i="25"/>
  <c r="BH81" i="25"/>
  <c r="AP81" i="25"/>
  <c r="BS81" i="25"/>
  <c r="BF81" i="25"/>
  <c r="AW23" i="25"/>
  <c r="AR257" i="25"/>
  <c r="AP257" i="25"/>
  <c r="AR309" i="25"/>
  <c r="AP309" i="25"/>
  <c r="AR102" i="25"/>
  <c r="BG102" i="25"/>
  <c r="BH102" i="25"/>
  <c r="AP102" i="25"/>
  <c r="BS102" i="25"/>
  <c r="BF102" i="25"/>
  <c r="AR85" i="25"/>
  <c r="AT85" i="25" s="1"/>
  <c r="AY85" i="25" s="1"/>
  <c r="BG85" i="25"/>
  <c r="BH85" i="25"/>
  <c r="AP85" i="25"/>
  <c r="AR98" i="25"/>
  <c r="AT98" i="25" s="1"/>
  <c r="AY98" i="25" s="1"/>
  <c r="BG98" i="25"/>
  <c r="BH98" i="25"/>
  <c r="AP98" i="25"/>
  <c r="AW10" i="25"/>
  <c r="AR204" i="25"/>
  <c r="AP204" i="25"/>
  <c r="AR292" i="25"/>
  <c r="AP292" i="25"/>
  <c r="AR124" i="25"/>
  <c r="AP124" i="25"/>
  <c r="AR238" i="25"/>
  <c r="AP238" i="25"/>
  <c r="AR192" i="25"/>
  <c r="AP192" i="25"/>
  <c r="AR54" i="25"/>
  <c r="BG54" i="25"/>
  <c r="BH54" i="25"/>
  <c r="AP54" i="25"/>
  <c r="BS54" i="25"/>
  <c r="BF54" i="25"/>
  <c r="AR60" i="25"/>
  <c r="AT60" i="25" s="1"/>
  <c r="AY60" i="25" s="1"/>
  <c r="BG60" i="25"/>
  <c r="BH60" i="25"/>
  <c r="AP60" i="25"/>
  <c r="AR169" i="25"/>
  <c r="AP169" i="25"/>
  <c r="AR308" i="25"/>
  <c r="AP308" i="25"/>
  <c r="AR161" i="25"/>
  <c r="AP161" i="25"/>
  <c r="AR177" i="25"/>
  <c r="AP177" i="25"/>
  <c r="AR278" i="25"/>
  <c r="AP278" i="25"/>
  <c r="AR115" i="25"/>
  <c r="AP115" i="25"/>
  <c r="AR258" i="25"/>
  <c r="AP258" i="25"/>
  <c r="AR61" i="25"/>
  <c r="BG61" i="25"/>
  <c r="BH61" i="25"/>
  <c r="AP61" i="25"/>
  <c r="BS61" i="25"/>
  <c r="BF61" i="25"/>
  <c r="AR288" i="25"/>
  <c r="AP288" i="25"/>
  <c r="AR71" i="25"/>
  <c r="BG71" i="25"/>
  <c r="BH71" i="25"/>
  <c r="AP71" i="25"/>
  <c r="BF71" i="25"/>
  <c r="BS71" i="25"/>
  <c r="AW34" i="25"/>
  <c r="AR208" i="25"/>
  <c r="AP208" i="25"/>
  <c r="AR128" i="25"/>
  <c r="AP128" i="25"/>
  <c r="AR84" i="25"/>
  <c r="AT84" i="25" s="1"/>
  <c r="AY84" i="25" s="1"/>
  <c r="BG84" i="25"/>
  <c r="BH84" i="25"/>
  <c r="AP84" i="25"/>
  <c r="AW16" i="25"/>
  <c r="AR29" i="25"/>
  <c r="BG29" i="25"/>
  <c r="BH29" i="25"/>
  <c r="AP29" i="25"/>
  <c r="BF29" i="25"/>
  <c r="BS29" i="25"/>
  <c r="AR217" i="25"/>
  <c r="AP217" i="25"/>
  <c r="BF98" i="25"/>
  <c r="AR38" i="25"/>
  <c r="BG38" i="25"/>
  <c r="BH38" i="25"/>
  <c r="AP38" i="25"/>
  <c r="BS38" i="25"/>
  <c r="BF38" i="25"/>
  <c r="AR55" i="25"/>
  <c r="AT55" i="25" s="1"/>
  <c r="AY55" i="25" s="1"/>
  <c r="BG55" i="25"/>
  <c r="BH55" i="25"/>
  <c r="AP55" i="25"/>
  <c r="AR41" i="25"/>
  <c r="BG41" i="25"/>
  <c r="BH41" i="25"/>
  <c r="AP41" i="25"/>
  <c r="BS41" i="25"/>
  <c r="BF41" i="25"/>
  <c r="AR194" i="25"/>
  <c r="AP194" i="25"/>
  <c r="AR22" i="25"/>
  <c r="BG22" i="25"/>
  <c r="BH22" i="25"/>
  <c r="AP22" i="25"/>
  <c r="BF22" i="25"/>
  <c r="BS22" i="25"/>
  <c r="AR260" i="25"/>
  <c r="AP260" i="25"/>
  <c r="AR74" i="25"/>
  <c r="AT74" i="25" s="1"/>
  <c r="AY74" i="25" s="1"/>
  <c r="BG74" i="25"/>
  <c r="BH74" i="25"/>
  <c r="AP74" i="25"/>
  <c r="AR286" i="25"/>
  <c r="AP286" i="25"/>
  <c r="AR264" i="25"/>
  <c r="AP264" i="25"/>
  <c r="AR155" i="25"/>
  <c r="AP155" i="25"/>
  <c r="AR153" i="25"/>
  <c r="AP153" i="25"/>
  <c r="AR135" i="25"/>
  <c r="AP135" i="25"/>
  <c r="AR242" i="25"/>
  <c r="AP242" i="25"/>
  <c r="AR99" i="25"/>
  <c r="AT99" i="25" s="1"/>
  <c r="AY99" i="25" s="1"/>
  <c r="BG99" i="25"/>
  <c r="BH99" i="25"/>
  <c r="AP99" i="25"/>
  <c r="AR132" i="25"/>
  <c r="AP132" i="25"/>
  <c r="AR111" i="25"/>
  <c r="AP111" i="25"/>
  <c r="AR44" i="25"/>
  <c r="BG44" i="25"/>
  <c r="BH44" i="25"/>
  <c r="AP44" i="25"/>
  <c r="BS44" i="25"/>
  <c r="BF44" i="25"/>
  <c r="AR312" i="25"/>
  <c r="AP312" i="25"/>
  <c r="AR80" i="25"/>
  <c r="AT80" i="25" s="1"/>
  <c r="AY80" i="25" s="1"/>
  <c r="BG80" i="25"/>
  <c r="BH80" i="25"/>
  <c r="AP80" i="25"/>
  <c r="AW32" i="25"/>
  <c r="BF55" i="25"/>
  <c r="AR147" i="25"/>
  <c r="AP147" i="25"/>
  <c r="AR237" i="25"/>
  <c r="AP237" i="25"/>
  <c r="AR225" i="25"/>
  <c r="AP225" i="25"/>
  <c r="AR255" i="25"/>
  <c r="AP255" i="25"/>
  <c r="AR298" i="25"/>
  <c r="AP298" i="25"/>
  <c r="AR82" i="25"/>
  <c r="BG82" i="25"/>
  <c r="BH82" i="25"/>
  <c r="AP82" i="25"/>
  <c r="BS82" i="25"/>
  <c r="BF82" i="25"/>
  <c r="AR30" i="25"/>
  <c r="BG30" i="25"/>
  <c r="BH30" i="25"/>
  <c r="AP30" i="25"/>
  <c r="BS30" i="25"/>
  <c r="BF30" i="25"/>
  <c r="AR88" i="25"/>
  <c r="BG88" i="25"/>
  <c r="BH88" i="25"/>
  <c r="AP88" i="25"/>
  <c r="BF88" i="25"/>
  <c r="BS88" i="25"/>
  <c r="AR201" i="25"/>
  <c r="AP201" i="25"/>
  <c r="AW74" i="25"/>
  <c r="AR306" i="25"/>
  <c r="AP306" i="25"/>
  <c r="AR21" i="25"/>
  <c r="BG21" i="25"/>
  <c r="BH21" i="25"/>
  <c r="AP21" i="25"/>
  <c r="BF21" i="25"/>
  <c r="BS21" i="25"/>
  <c r="AR284" i="25"/>
  <c r="AP284" i="25"/>
  <c r="AR305" i="25"/>
  <c r="AP305" i="25"/>
  <c r="AR236" i="25"/>
  <c r="AP236" i="25"/>
  <c r="AR83" i="25"/>
  <c r="BG83" i="25"/>
  <c r="BH83" i="25"/>
  <c r="AP83" i="25"/>
  <c r="BF83" i="25"/>
  <c r="BS83" i="25"/>
  <c r="AR246" i="25"/>
  <c r="AP246" i="25"/>
  <c r="AR220" i="25"/>
  <c r="AP220" i="25"/>
  <c r="BF99" i="25"/>
  <c r="AW99" i="25"/>
  <c r="AR140" i="25"/>
  <c r="AP140" i="25"/>
  <c r="AR47" i="25"/>
  <c r="BG47" i="25"/>
  <c r="BH47" i="25"/>
  <c r="AP47" i="25"/>
  <c r="BS47" i="25"/>
  <c r="BF47" i="25"/>
  <c r="AR179" i="25"/>
  <c r="AP179" i="25"/>
  <c r="AR195" i="25"/>
  <c r="AP195" i="25"/>
  <c r="AR142" i="25"/>
  <c r="AP142" i="25"/>
  <c r="AW84" i="25"/>
  <c r="AR268" i="25"/>
  <c r="AP268" i="25"/>
  <c r="AR261" i="25"/>
  <c r="AP261" i="25"/>
  <c r="AR37" i="25"/>
  <c r="BG37" i="25"/>
  <c r="BH37" i="25"/>
  <c r="AP37" i="25"/>
  <c r="BS37" i="25"/>
  <c r="BF37" i="25"/>
  <c r="AR25" i="25"/>
  <c r="AT25" i="25" s="1"/>
  <c r="AY25" i="25" s="1"/>
  <c r="BG25" i="25"/>
  <c r="BH25" i="25"/>
  <c r="AP25" i="25"/>
  <c r="AR100" i="25"/>
  <c r="BG100" i="25"/>
  <c r="BH100" i="25"/>
  <c r="AP100" i="25"/>
  <c r="BF100" i="25"/>
  <c r="BS100" i="25"/>
  <c r="AR223" i="25"/>
  <c r="AP223" i="25"/>
  <c r="AR240" i="25"/>
  <c r="AP240" i="25"/>
  <c r="AR297" i="25"/>
  <c r="AP297" i="25"/>
  <c r="AR218" i="25"/>
  <c r="AP218" i="25"/>
  <c r="AR302" i="25"/>
  <c r="AP302" i="25"/>
  <c r="AR141" i="25"/>
  <c r="AP141" i="25"/>
  <c r="AR303" i="25"/>
  <c r="AP303" i="25"/>
  <c r="AW66" i="25"/>
  <c r="AR279" i="25"/>
  <c r="AP279" i="25"/>
  <c r="AR10" i="25"/>
  <c r="AT10" i="25" s="1"/>
  <c r="AY10" i="25" s="1"/>
  <c r="BG10" i="25"/>
  <c r="BH10" i="25"/>
  <c r="AP10" i="25"/>
  <c r="AR67" i="25"/>
  <c r="BG67" i="25"/>
  <c r="BH67" i="25"/>
  <c r="AP67" i="25"/>
  <c r="BS67" i="25"/>
  <c r="BF67" i="25"/>
  <c r="AR90" i="25"/>
  <c r="AT90" i="25" s="1"/>
  <c r="AY90" i="25" s="1"/>
  <c r="BG90" i="25"/>
  <c r="BH90" i="25"/>
  <c r="AP90" i="25"/>
  <c r="AR69" i="25"/>
  <c r="BG69" i="25"/>
  <c r="BH69" i="25"/>
  <c r="AP69" i="25"/>
  <c r="BS69" i="25"/>
  <c r="BF69" i="25"/>
  <c r="AR114" i="25"/>
  <c r="AP114" i="25"/>
  <c r="AR296" i="25"/>
  <c r="AP296" i="25"/>
  <c r="AR105" i="25"/>
  <c r="BG105" i="25"/>
  <c r="BH105" i="25"/>
  <c r="AP105" i="25"/>
  <c r="BF105" i="25"/>
  <c r="BS105" i="25"/>
  <c r="AR149" i="25"/>
  <c r="AP149" i="25"/>
  <c r="AR28" i="25"/>
  <c r="BG28" i="25"/>
  <c r="BH28" i="25"/>
  <c r="AP28" i="25"/>
  <c r="BS28" i="25"/>
  <c r="BF28" i="25"/>
  <c r="AR126" i="25"/>
  <c r="AP126" i="25"/>
  <c r="AR200" i="25"/>
  <c r="AP200" i="25"/>
  <c r="AR18" i="25"/>
  <c r="AT18" i="25" s="1"/>
  <c r="AY18" i="25" s="1"/>
  <c r="BG18" i="25"/>
  <c r="BH18" i="25"/>
  <c r="AP18" i="25"/>
  <c r="AR158" i="25"/>
  <c r="AP158" i="25"/>
  <c r="AR290" i="25"/>
  <c r="AP290" i="25"/>
  <c r="AR295" i="25"/>
  <c r="AP295" i="25"/>
  <c r="AR245" i="25"/>
  <c r="AP245" i="25"/>
  <c r="BF25" i="25"/>
  <c r="AR233" i="25"/>
  <c r="AP233" i="25"/>
  <c r="AR273" i="25"/>
  <c r="AP273" i="25"/>
  <c r="AR313" i="25"/>
  <c r="AP313" i="25"/>
  <c r="AR222" i="25"/>
  <c r="AP222" i="25"/>
  <c r="AR121" i="25"/>
  <c r="AP121" i="25"/>
  <c r="AR131" i="25"/>
  <c r="AP131" i="25"/>
  <c r="AW33" i="25"/>
  <c r="AR139" i="25"/>
  <c r="AP139" i="25"/>
  <c r="AW90" i="25"/>
  <c r="AR180" i="25"/>
  <c r="AP180" i="25"/>
  <c r="AR113" i="25"/>
  <c r="AP113" i="25"/>
  <c r="AR56" i="25"/>
  <c r="BG56" i="25"/>
  <c r="BH56" i="25"/>
  <c r="AP56" i="25"/>
  <c r="BF56" i="25"/>
  <c r="BS56" i="25"/>
  <c r="AR272" i="25"/>
  <c r="AP272" i="25"/>
  <c r="AR14" i="25"/>
  <c r="BG14" i="25"/>
  <c r="BH14" i="25"/>
  <c r="AP14" i="25"/>
  <c r="BF14" i="25"/>
  <c r="BS14" i="25"/>
  <c r="AR93" i="25"/>
  <c r="BG93" i="25"/>
  <c r="BH93" i="25"/>
  <c r="AP93" i="25"/>
  <c r="BF93" i="25"/>
  <c r="BS93" i="25"/>
  <c r="AR269" i="25"/>
  <c r="AP269" i="25"/>
  <c r="AR254" i="25"/>
  <c r="AP254" i="25"/>
  <c r="AR136" i="25"/>
  <c r="AP136" i="25"/>
  <c r="AR138" i="25"/>
  <c r="AP138" i="25"/>
  <c r="AR116" i="25"/>
  <c r="AP116" i="25"/>
  <c r="AR156" i="25"/>
  <c r="AP156" i="25"/>
  <c r="AR224" i="25"/>
  <c r="AP224" i="25"/>
  <c r="AR189" i="25"/>
  <c r="AP189" i="25"/>
  <c r="AR265" i="25"/>
  <c r="AP265" i="25"/>
  <c r="AR91" i="25"/>
  <c r="BG91" i="25"/>
  <c r="BH91" i="25"/>
  <c r="AP91" i="25"/>
  <c r="BS91" i="25"/>
  <c r="BF91" i="25"/>
  <c r="AR304" i="25"/>
  <c r="AP304" i="25"/>
  <c r="AR134" i="25"/>
  <c r="AP134" i="25"/>
  <c r="AR190" i="25"/>
  <c r="AP190" i="25"/>
  <c r="AR68" i="25"/>
  <c r="BG68" i="25"/>
  <c r="BH68" i="25"/>
  <c r="AP68" i="25"/>
  <c r="BS68" i="25"/>
  <c r="BF68" i="25"/>
  <c r="AR199" i="25"/>
  <c r="AP199" i="25"/>
  <c r="AR207" i="25"/>
  <c r="AP207" i="25"/>
  <c r="AR86" i="25"/>
  <c r="BG86" i="25"/>
  <c r="BH86" i="25"/>
  <c r="AP86" i="25"/>
  <c r="BS86" i="25"/>
  <c r="BF86" i="25"/>
  <c r="AR256" i="25"/>
  <c r="AP256" i="25"/>
  <c r="AR281" i="25"/>
  <c r="AP281" i="25"/>
  <c r="AR197" i="25"/>
  <c r="AP197" i="25"/>
  <c r="AR183" i="25"/>
  <c r="AP183" i="25"/>
  <c r="AR274" i="25"/>
  <c r="AP274" i="25"/>
  <c r="AR148" i="25"/>
  <c r="AP148" i="25"/>
  <c r="AR13" i="25"/>
  <c r="BG13" i="25"/>
  <c r="BH13" i="25"/>
  <c r="AP13" i="25"/>
  <c r="BS13" i="25"/>
  <c r="BF13" i="25"/>
  <c r="AR253" i="25"/>
  <c r="AP253" i="25"/>
  <c r="AR24" i="25"/>
  <c r="BG24" i="25"/>
  <c r="BH24" i="25"/>
  <c r="AP24" i="25"/>
  <c r="BS24" i="25"/>
  <c r="BF24" i="25"/>
  <c r="AR289" i="25"/>
  <c r="AP289" i="25"/>
  <c r="AR181" i="25"/>
  <c r="AP181" i="25"/>
  <c r="AR65" i="25"/>
  <c r="AT65" i="25" s="1"/>
  <c r="AY65" i="25" s="1"/>
  <c r="BG65" i="25"/>
  <c r="BH65" i="25"/>
  <c r="AP65" i="25"/>
  <c r="AW80" i="25"/>
  <c r="AR45" i="25"/>
  <c r="AT45" i="25" s="1"/>
  <c r="AY45" i="25" s="1"/>
  <c r="BG45" i="25"/>
  <c r="BH45" i="25"/>
  <c r="AP45" i="25"/>
  <c r="AR234" i="25"/>
  <c r="AP234" i="25"/>
  <c r="AR188" i="25"/>
  <c r="AP188" i="25"/>
  <c r="AR129" i="25"/>
  <c r="AP129" i="25"/>
  <c r="AR314" i="25"/>
  <c r="AP314" i="25"/>
  <c r="AR152" i="25"/>
  <c r="AP152" i="25"/>
  <c r="AR34" i="25"/>
  <c r="AT34" i="25" s="1"/>
  <c r="AY34" i="25" s="1"/>
  <c r="BG34" i="25"/>
  <c r="BH34" i="25"/>
  <c r="AP34" i="25"/>
  <c r="AW45" i="25"/>
  <c r="AW43" i="25"/>
  <c r="AR87" i="25"/>
  <c r="BG87" i="25"/>
  <c r="BH87" i="25"/>
  <c r="AP87" i="25"/>
  <c r="BF87" i="25"/>
  <c r="BS87" i="25"/>
  <c r="AR31" i="25"/>
  <c r="BG31" i="25"/>
  <c r="BH31" i="25"/>
  <c r="AP31" i="25"/>
  <c r="BS31" i="25"/>
  <c r="BF31" i="25"/>
  <c r="AR259" i="25"/>
  <c r="AP259" i="25"/>
  <c r="AR94" i="25"/>
  <c r="BG94" i="25"/>
  <c r="BH94" i="25"/>
  <c r="AP94" i="25"/>
  <c r="BF94" i="25"/>
  <c r="BS94" i="25"/>
  <c r="AR42" i="25"/>
  <c r="BG42" i="25"/>
  <c r="BH42" i="25"/>
  <c r="AP42" i="25"/>
  <c r="BF42" i="25"/>
  <c r="BS42" i="25"/>
  <c r="AR294" i="25"/>
  <c r="AP294" i="25"/>
  <c r="AW85" i="25"/>
  <c r="AR232" i="25"/>
  <c r="AP232" i="25"/>
  <c r="AR77" i="25"/>
  <c r="AT77" i="25" s="1"/>
  <c r="AY77" i="25" s="1"/>
  <c r="BG77" i="25"/>
  <c r="BH77" i="25"/>
  <c r="AP77" i="25"/>
  <c r="AR299" i="25"/>
  <c r="AP299" i="25"/>
  <c r="AR243" i="25"/>
  <c r="AP243" i="25"/>
  <c r="AR226" i="25"/>
  <c r="AP226" i="25"/>
  <c r="AR316" i="25"/>
  <c r="AP316" i="25"/>
  <c r="AR167" i="25"/>
  <c r="AP167" i="25"/>
  <c r="AR283" i="25"/>
  <c r="AP283" i="25"/>
  <c r="AR203" i="25"/>
  <c r="AP203" i="25"/>
  <c r="AR96" i="25"/>
  <c r="BG96" i="25"/>
  <c r="BH96" i="25"/>
  <c r="AP96" i="25"/>
  <c r="BF96" i="25"/>
  <c r="BS96" i="25"/>
  <c r="AR154" i="25"/>
  <c r="AP154" i="25"/>
  <c r="AR19" i="25"/>
  <c r="AT19" i="25" s="1"/>
  <c r="AY19" i="25" s="1"/>
  <c r="BG19" i="25"/>
  <c r="BH19" i="25"/>
  <c r="AP19" i="25"/>
  <c r="AR52" i="25"/>
  <c r="BG52" i="25"/>
  <c r="BH52" i="25"/>
  <c r="AP52" i="25"/>
  <c r="BS52" i="25"/>
  <c r="BF52" i="25"/>
  <c r="BF65" i="25"/>
  <c r="AW50" i="25"/>
  <c r="AR119" i="25"/>
  <c r="AP119" i="25"/>
  <c r="AR101" i="25"/>
  <c r="BG101" i="25"/>
  <c r="BH101" i="25"/>
  <c r="AP101" i="25"/>
  <c r="BS101" i="25"/>
  <c r="BF101" i="25"/>
  <c r="AR144" i="25"/>
  <c r="AP144" i="25"/>
  <c r="AW19" i="25"/>
  <c r="AR263" i="25"/>
  <c r="AP263" i="25"/>
  <c r="AW89" i="25"/>
  <c r="AR239" i="25"/>
  <c r="AP239" i="25"/>
  <c r="AR249" i="25"/>
  <c r="AP249" i="25"/>
  <c r="AR97" i="25"/>
  <c r="BG97" i="25"/>
  <c r="BH97" i="25"/>
  <c r="AP97" i="25"/>
  <c r="BS97" i="25"/>
  <c r="BF97" i="25"/>
  <c r="AR241" i="25"/>
  <c r="AP241" i="25"/>
  <c r="AR287" i="25"/>
  <c r="AP287" i="25"/>
  <c r="AR89" i="25"/>
  <c r="AT89" i="25" s="1"/>
  <c r="AY89" i="25" s="1"/>
  <c r="BG89" i="25"/>
  <c r="BH89" i="25"/>
  <c r="AP89" i="25"/>
  <c r="AR276" i="25"/>
  <c r="AP276" i="25"/>
  <c r="AR184" i="25"/>
  <c r="AP184" i="25"/>
  <c r="BS45" i="25"/>
  <c r="AW98" i="25"/>
  <c r="BS73" i="25"/>
  <c r="AR182" i="25"/>
  <c r="AP182" i="25"/>
  <c r="AR35" i="25"/>
  <c r="BG35" i="25"/>
  <c r="BH35" i="25"/>
  <c r="AP35" i="25"/>
  <c r="BS35" i="25"/>
  <c r="BF35" i="25"/>
  <c r="AR57" i="25"/>
  <c r="AT57" i="25" s="1"/>
  <c r="AY57" i="25" s="1"/>
  <c r="BG57" i="25"/>
  <c r="BH57" i="25"/>
  <c r="AP57" i="25"/>
  <c r="AW46" i="25"/>
  <c r="AR310" i="25"/>
  <c r="AP310" i="25"/>
  <c r="BF57" i="25"/>
  <c r="AR159" i="25"/>
  <c r="AP159" i="25"/>
  <c r="BS60" i="25"/>
  <c r="AR59" i="25"/>
  <c r="BG59" i="25"/>
  <c r="BH59" i="25"/>
  <c r="AP59" i="25"/>
  <c r="BS59" i="25"/>
  <c r="BF59" i="25"/>
  <c r="AR162" i="25"/>
  <c r="AP162" i="25"/>
  <c r="AR275" i="25"/>
  <c r="AP275" i="25"/>
  <c r="AR315" i="25"/>
  <c r="AP315" i="25"/>
  <c r="BS77" i="25"/>
  <c r="BF85" i="25"/>
  <c r="AR219" i="25"/>
  <c r="AP219" i="25"/>
  <c r="AR123" i="25"/>
  <c r="AP123" i="25"/>
  <c r="AR300" i="25"/>
  <c r="AP300" i="25"/>
  <c r="AR33" i="25"/>
  <c r="AT33" i="25" s="1"/>
  <c r="AY33" i="25" s="1"/>
  <c r="BG33" i="25"/>
  <c r="BH33" i="25"/>
  <c r="AP33" i="25"/>
  <c r="AR50" i="25"/>
  <c r="AT50" i="25" s="1"/>
  <c r="AY50" i="25" s="1"/>
  <c r="BG50" i="25"/>
  <c r="BH50" i="25"/>
  <c r="AP50" i="25"/>
  <c r="AR301" i="25"/>
  <c r="AP301" i="25"/>
  <c r="AR63" i="25"/>
  <c r="BG63" i="25"/>
  <c r="BH63" i="25"/>
  <c r="AP63" i="25"/>
  <c r="BF63" i="25"/>
  <c r="BS63" i="25"/>
  <c r="AR146" i="25"/>
  <c r="AP146" i="25"/>
  <c r="AW7" i="25"/>
  <c r="AR262" i="25"/>
  <c r="AP262" i="25"/>
  <c r="AW55" i="25"/>
  <c r="AR205" i="25"/>
  <c r="AP205" i="25"/>
  <c r="AR175" i="25"/>
  <c r="AP175" i="25"/>
  <c r="AR163" i="25"/>
  <c r="AP163" i="25"/>
  <c r="AR172" i="25"/>
  <c r="AP172" i="25"/>
  <c r="AR248" i="25"/>
  <c r="AP248" i="25"/>
  <c r="AR209" i="25"/>
  <c r="AP209" i="25"/>
  <c r="AR48" i="25"/>
  <c r="BG48" i="25"/>
  <c r="BH48" i="25"/>
  <c r="AP48" i="25"/>
  <c r="BF48" i="25"/>
  <c r="BS48" i="25"/>
  <c r="AR235" i="25"/>
  <c r="AP235" i="25"/>
  <c r="BF74" i="25"/>
  <c r="BS99" i="25"/>
  <c r="AW95" i="25"/>
  <c r="AR187" i="25"/>
  <c r="AP187" i="25"/>
  <c r="AR23" i="25"/>
  <c r="AT23" i="25" s="1"/>
  <c r="AY23" i="25" s="1"/>
  <c r="BG23" i="25"/>
  <c r="BH23" i="25"/>
  <c r="AP23" i="25"/>
  <c r="AR46" i="25"/>
  <c r="AT46" i="25" s="1"/>
  <c r="AY46" i="25" s="1"/>
  <c r="BG46" i="25"/>
  <c r="BH46" i="25"/>
  <c r="AP46" i="25"/>
  <c r="AR130" i="25"/>
  <c r="AP130" i="25"/>
  <c r="AR76" i="25"/>
  <c r="BG76" i="25"/>
  <c r="BH76" i="25"/>
  <c r="AP76" i="25"/>
  <c r="BS76" i="25"/>
  <c r="BF76" i="25"/>
  <c r="AR36" i="25"/>
  <c r="BG36" i="25"/>
  <c r="BH36" i="25"/>
  <c r="AP36" i="25"/>
  <c r="BF36" i="25"/>
  <c r="BS36" i="25"/>
  <c r="AW39" i="25"/>
  <c r="BS84" i="25"/>
  <c r="AW75" i="25"/>
  <c r="AW65" i="25"/>
  <c r="AR12" i="25"/>
  <c r="BG12" i="25"/>
  <c r="BH12" i="25"/>
  <c r="AP12" i="25"/>
  <c r="BS12" i="25"/>
  <c r="BF12" i="25"/>
  <c r="BG6" i="25"/>
  <c r="AR6" i="25"/>
  <c r="BH6" i="25"/>
  <c r="AP6" i="25"/>
  <c r="BF6" i="25"/>
  <c r="BS6" i="25"/>
  <c r="AR280" i="25"/>
  <c r="AP280" i="25"/>
  <c r="AR185" i="25"/>
  <c r="AP185" i="25"/>
  <c r="AR62" i="25"/>
  <c r="BG62" i="25"/>
  <c r="BH62" i="25"/>
  <c r="AP62" i="25"/>
  <c r="BS62" i="25"/>
  <c r="BF62" i="25"/>
  <c r="AR227" i="25"/>
  <c r="AP227" i="25"/>
  <c r="AR198" i="25"/>
  <c r="AP198" i="25"/>
  <c r="AR133" i="25"/>
  <c r="AP133" i="25"/>
  <c r="AR43" i="25"/>
  <c r="AT43" i="25" s="1"/>
  <c r="AY43" i="25" s="1"/>
  <c r="BG43" i="25"/>
  <c r="BH43" i="25"/>
  <c r="AP43" i="25"/>
  <c r="AR221" i="25"/>
  <c r="AP221" i="25"/>
  <c r="AR122" i="25"/>
  <c r="AP122" i="25"/>
  <c r="AR168" i="25"/>
  <c r="AP168" i="25"/>
  <c r="BS19" i="25"/>
  <c r="AR11" i="25"/>
  <c r="BG11" i="25"/>
  <c r="BH11" i="25"/>
  <c r="AP11" i="25"/>
  <c r="BS11" i="25"/>
  <c r="BF11" i="25"/>
  <c r="BF80" i="25"/>
  <c r="AR104" i="25"/>
  <c r="BG104" i="25"/>
  <c r="BH104" i="25"/>
  <c r="AP104" i="25"/>
  <c r="BS104" i="25"/>
  <c r="BF104" i="25"/>
  <c r="BG9" i="25"/>
  <c r="AR9" i="25"/>
  <c r="BH9" i="25"/>
  <c r="AP9" i="25"/>
  <c r="BF9" i="25"/>
  <c r="BS9" i="25"/>
  <c r="AR32" i="25"/>
  <c r="AT32" i="25" s="1"/>
  <c r="AY32" i="25" s="1"/>
  <c r="BG32" i="25"/>
  <c r="BH32" i="25"/>
  <c r="AP32" i="25"/>
  <c r="AR92" i="25"/>
  <c r="BG92" i="25"/>
  <c r="BH92" i="25"/>
  <c r="AP92" i="25"/>
  <c r="BF92" i="25"/>
  <c r="BS92" i="25"/>
  <c r="AR277" i="25"/>
  <c r="AP277" i="25"/>
  <c r="AR58" i="25"/>
  <c r="AT58" i="25" s="1"/>
  <c r="AY58" i="25" s="1"/>
  <c r="BG58" i="25"/>
  <c r="BH58" i="25"/>
  <c r="AP58" i="25"/>
  <c r="BS34" i="25"/>
  <c r="AR72" i="25"/>
  <c r="AT72" i="25" s="1"/>
  <c r="AY72" i="25" s="1"/>
  <c r="BG72" i="25"/>
  <c r="BH72" i="25"/>
  <c r="AP72" i="25"/>
  <c r="AR117" i="25"/>
  <c r="AP117" i="25"/>
  <c r="AR160" i="25"/>
  <c r="AP160" i="25"/>
  <c r="AR49" i="25"/>
  <c r="BG49" i="25"/>
  <c r="BH49" i="25"/>
  <c r="AP49" i="25"/>
  <c r="BF49" i="25"/>
  <c r="BS49" i="25"/>
  <c r="AR291" i="25"/>
  <c r="AP291" i="25"/>
  <c r="AR191" i="25"/>
  <c r="AP191" i="25"/>
  <c r="AR150" i="25"/>
  <c r="AP150" i="25"/>
  <c r="AR75" i="25"/>
  <c r="AT75" i="25" s="1"/>
  <c r="AY75" i="25" s="1"/>
  <c r="BG75" i="25"/>
  <c r="BH75" i="25"/>
  <c r="AP75" i="25"/>
  <c r="AR151" i="25"/>
  <c r="AP151" i="25"/>
  <c r="AR266" i="25"/>
  <c r="AP266" i="25"/>
  <c r="AR171" i="25"/>
  <c r="AP171" i="25"/>
  <c r="AR95" i="25"/>
  <c r="AT95" i="25" s="1"/>
  <c r="AY95" i="25" s="1"/>
  <c r="BG95" i="25"/>
  <c r="BH95" i="25"/>
  <c r="AP95" i="25"/>
  <c r="AR112" i="25"/>
  <c r="AP112" i="25"/>
  <c r="AR7" i="25"/>
  <c r="AT7" i="25" s="1"/>
  <c r="AY7" i="25" s="1"/>
  <c r="BG7" i="25"/>
  <c r="BH7" i="25"/>
  <c r="AP7" i="25"/>
  <c r="AR51" i="25"/>
  <c r="BG51" i="25"/>
  <c r="BH51" i="25"/>
  <c r="AP51" i="25"/>
  <c r="BS51" i="25"/>
  <c r="BF51" i="25"/>
  <c r="AR270" i="25"/>
  <c r="AP270" i="25"/>
  <c r="AR282" i="25"/>
  <c r="AP282" i="25"/>
  <c r="AR186" i="25"/>
  <c r="AP186" i="25"/>
  <c r="BF45" i="25"/>
  <c r="AR64" i="25"/>
  <c r="BG64" i="25"/>
  <c r="BH64" i="25"/>
  <c r="AP64" i="25"/>
  <c r="BS64" i="25"/>
  <c r="BF64" i="25"/>
  <c r="AW25" i="25"/>
  <c r="BF73" i="25"/>
  <c r="AR252" i="25"/>
  <c r="AP252" i="25"/>
  <c r="AR16" i="25"/>
  <c r="AT16" i="25" s="1"/>
  <c r="AY16" i="25" s="1"/>
  <c r="BG16" i="25"/>
  <c r="BH16" i="25"/>
  <c r="AP16" i="25"/>
  <c r="AR251" i="25"/>
  <c r="AP251" i="25"/>
  <c r="AR20" i="25"/>
  <c r="BG20" i="25"/>
  <c r="BH20" i="25"/>
  <c r="AP20" i="25"/>
  <c r="BS20" i="25"/>
  <c r="BF20" i="25"/>
  <c r="AR39" i="25"/>
  <c r="AT39" i="25" s="1"/>
  <c r="AY39" i="25" s="1"/>
  <c r="BG39" i="25"/>
  <c r="BH39" i="25"/>
  <c r="AP39" i="25"/>
  <c r="AR53" i="25"/>
  <c r="BG53" i="25"/>
  <c r="BH53" i="25"/>
  <c r="AP53" i="25"/>
  <c r="BS53" i="25"/>
  <c r="BF53" i="25"/>
  <c r="AR78" i="25"/>
  <c r="BG78" i="25"/>
  <c r="BH78" i="25"/>
  <c r="AP78" i="25"/>
  <c r="BF78" i="25"/>
  <c r="BS78" i="25"/>
  <c r="AR250" i="25"/>
  <c r="AP250" i="25"/>
  <c r="AR66" i="25"/>
  <c r="AT66" i="25" s="1"/>
  <c r="AY66" i="25" s="1"/>
  <c r="BG66" i="25"/>
  <c r="BH66" i="25"/>
  <c r="AP66" i="25"/>
  <c r="AR17" i="25"/>
  <c r="BG17" i="25"/>
  <c r="BH17" i="25"/>
  <c r="AP17" i="25"/>
  <c r="BS17" i="25"/>
  <c r="BF17" i="25"/>
  <c r="AW58" i="25"/>
  <c r="BF23" i="25"/>
  <c r="AR178" i="25"/>
  <c r="AP178" i="25"/>
  <c r="AR210" i="25"/>
  <c r="AP210" i="25"/>
  <c r="AR15" i="25"/>
  <c r="BG15" i="25"/>
  <c r="BH15" i="25"/>
  <c r="AP15" i="25"/>
  <c r="BF15" i="25"/>
  <c r="BS15" i="25"/>
  <c r="AR157" i="25"/>
  <c r="AP157" i="25"/>
  <c r="AW57" i="25"/>
  <c r="AR103" i="25"/>
  <c r="BG103" i="25"/>
  <c r="BH103" i="25"/>
  <c r="AP103" i="25"/>
  <c r="BS103" i="25"/>
  <c r="BF103" i="25"/>
  <c r="AR311" i="25"/>
  <c r="AP311" i="25"/>
  <c r="AW60" i="25"/>
  <c r="AR173" i="25"/>
  <c r="AP173" i="25"/>
  <c r="AR26" i="25"/>
  <c r="BG26" i="25"/>
  <c r="BH26" i="25"/>
  <c r="AP26" i="25"/>
  <c r="BF26" i="25"/>
  <c r="BS26" i="25"/>
  <c r="AR127" i="25"/>
  <c r="AP127" i="25"/>
  <c r="AR293" i="25"/>
  <c r="AP293" i="25"/>
  <c r="BS10" i="25"/>
  <c r="AR174" i="25"/>
  <c r="AP174" i="25"/>
  <c r="BS19" i="24"/>
  <c r="BS36" i="24"/>
  <c r="BS40" i="24"/>
  <c r="BS18" i="24"/>
  <c r="BH82" i="24"/>
  <c r="BS82" i="24"/>
  <c r="BH68" i="24"/>
  <c r="BS68" i="24"/>
  <c r="BH83" i="24"/>
  <c r="BS83" i="24"/>
  <c r="BH89" i="24"/>
  <c r="BS89" i="24"/>
  <c r="BH79" i="24"/>
  <c r="BS79" i="24"/>
  <c r="BH32" i="24"/>
  <c r="BS32" i="24"/>
  <c r="BH56" i="24"/>
  <c r="BS56" i="24"/>
  <c r="BH63" i="24"/>
  <c r="BS63" i="24"/>
  <c r="BH29" i="24"/>
  <c r="BS29" i="24"/>
  <c r="BS46" i="24"/>
  <c r="BH74" i="24"/>
  <c r="BS74" i="24"/>
  <c r="BH59" i="24"/>
  <c r="BS59" i="24"/>
  <c r="BH96" i="24"/>
  <c r="BS96" i="24"/>
  <c r="BH31" i="24"/>
  <c r="BS31" i="24"/>
  <c r="BH100" i="24"/>
  <c r="BS100" i="24"/>
  <c r="BH54" i="24"/>
  <c r="BS54" i="24"/>
  <c r="BH92" i="24"/>
  <c r="BS92" i="24"/>
  <c r="BH72" i="24"/>
  <c r="BS72" i="24"/>
  <c r="BH42" i="24"/>
  <c r="BS42" i="24"/>
  <c r="BS21" i="24"/>
  <c r="BS28" i="24"/>
  <c r="BH85" i="24"/>
  <c r="AS40" i="24"/>
  <c r="BI32" i="24"/>
  <c r="AS32" i="24"/>
  <c r="AW32" i="24" s="1"/>
  <c r="AY32" i="24" s="1"/>
  <c r="AZ32" i="24" s="1"/>
  <c r="BJ32" i="24"/>
  <c r="AQ40" i="24"/>
  <c r="BI40" i="24"/>
  <c r="BJ40" i="24"/>
  <c r="AQ32" i="24"/>
  <c r="AS201" i="24"/>
  <c r="AQ201" i="24"/>
  <c r="AS202" i="24"/>
  <c r="AQ202" i="24"/>
  <c r="CB208" i="24"/>
  <c r="AS200" i="24"/>
  <c r="CB200" i="24"/>
  <c r="AS197" i="24"/>
  <c r="AQ197" i="24"/>
  <c r="AS185" i="24"/>
  <c r="AQ185" i="24"/>
  <c r="AS183" i="24"/>
  <c r="AQ183" i="24"/>
  <c r="AS187" i="24"/>
  <c r="AQ187" i="24"/>
  <c r="CB191" i="24"/>
  <c r="AS190" i="24"/>
  <c r="AQ190" i="24"/>
  <c r="BH18" i="24"/>
  <c r="BI53" i="24"/>
  <c r="BH53" i="24"/>
  <c r="BJ56" i="24"/>
  <c r="BI56" i="24"/>
  <c r="BJ63" i="24"/>
  <c r="BI63" i="24"/>
  <c r="BJ29" i="24"/>
  <c r="BI29" i="24"/>
  <c r="BJ100" i="24"/>
  <c r="BI100" i="24"/>
  <c r="BJ36" i="24"/>
  <c r="BI36" i="24"/>
  <c r="BJ54" i="24"/>
  <c r="BI54" i="24"/>
  <c r="BJ92" i="24"/>
  <c r="BI92" i="24"/>
  <c r="BJ72" i="24"/>
  <c r="BI72" i="24"/>
  <c r="BJ85" i="24"/>
  <c r="BI85" i="24"/>
  <c r="BJ42" i="24"/>
  <c r="BI42" i="24"/>
  <c r="BJ82" i="24"/>
  <c r="BI82" i="24"/>
  <c r="BJ74" i="24"/>
  <c r="BI74" i="24"/>
  <c r="BJ68" i="24"/>
  <c r="BI68" i="24"/>
  <c r="BJ59" i="24"/>
  <c r="BI59" i="24"/>
  <c r="BJ96" i="24"/>
  <c r="BI96" i="24"/>
  <c r="BJ83" i="24"/>
  <c r="BI83" i="24"/>
  <c r="BJ28" i="24"/>
  <c r="BI28" i="24"/>
  <c r="BJ89" i="24"/>
  <c r="BI89" i="24"/>
  <c r="BJ21" i="24"/>
  <c r="BI21" i="24"/>
  <c r="BJ46" i="24"/>
  <c r="BI46" i="24"/>
  <c r="BJ79" i="24"/>
  <c r="BI79" i="24"/>
  <c r="BJ19" i="24"/>
  <c r="BI19" i="24"/>
  <c r="BJ31" i="24"/>
  <c r="BI31" i="24"/>
  <c r="AQ18" i="24"/>
  <c r="BJ18" i="24"/>
  <c r="AS53" i="24"/>
  <c r="AW53" i="24" s="1"/>
  <c r="AY53" i="24" s="1"/>
  <c r="AZ53" i="24" s="1"/>
  <c r="BJ53" i="24"/>
  <c r="AS18" i="24"/>
  <c r="AQ53" i="24"/>
  <c r="AQ100" i="24"/>
  <c r="AS100" i="24"/>
  <c r="AQ36" i="24"/>
  <c r="AS36" i="24"/>
  <c r="AQ257" i="24"/>
  <c r="AS257" i="24"/>
  <c r="AQ304" i="24"/>
  <c r="AS304" i="24"/>
  <c r="AQ249" i="24"/>
  <c r="AS249" i="24"/>
  <c r="AQ310" i="24"/>
  <c r="AS310" i="24"/>
  <c r="AQ288" i="24"/>
  <c r="AS288" i="24"/>
  <c r="AQ248" i="24"/>
  <c r="AS248" i="24"/>
  <c r="AQ247" i="24"/>
  <c r="AS247" i="24"/>
  <c r="AQ245" i="24"/>
  <c r="AS245" i="24"/>
  <c r="AQ126" i="24"/>
  <c r="AS126" i="24"/>
  <c r="AQ164" i="24"/>
  <c r="AS164" i="24"/>
  <c r="AQ142" i="24"/>
  <c r="AS142" i="24"/>
  <c r="AQ135" i="24"/>
  <c r="AS135" i="24"/>
  <c r="AQ137" i="24"/>
  <c r="AS137" i="24"/>
  <c r="AQ179" i="24"/>
  <c r="AS179" i="24"/>
  <c r="AQ85" i="24"/>
  <c r="AS85" i="24"/>
  <c r="AQ42" i="24"/>
  <c r="AS42" i="24"/>
  <c r="AQ230" i="24"/>
  <c r="AS230" i="24"/>
  <c r="AQ280" i="24"/>
  <c r="AS280" i="24"/>
  <c r="AQ240" i="24"/>
  <c r="AS240" i="24"/>
  <c r="AQ276" i="24"/>
  <c r="AS276" i="24"/>
  <c r="AQ219" i="24"/>
  <c r="AS219" i="24"/>
  <c r="AQ271" i="24"/>
  <c r="AS271" i="24"/>
  <c r="AQ282" i="24"/>
  <c r="AS282" i="24"/>
  <c r="AQ220" i="24"/>
  <c r="AS220" i="24"/>
  <c r="AQ243" i="24"/>
  <c r="AS243" i="24"/>
  <c r="AQ275" i="24"/>
  <c r="AS275" i="24"/>
  <c r="AQ270" i="24"/>
  <c r="AS270" i="24"/>
  <c r="AQ235" i="24"/>
  <c r="AS235" i="24"/>
  <c r="AQ221" i="24"/>
  <c r="AS221" i="24"/>
  <c r="AQ59" i="24"/>
  <c r="AS59" i="24"/>
  <c r="AQ96" i="24"/>
  <c r="AS96" i="24"/>
  <c r="AQ173" i="24"/>
  <c r="AS173" i="24"/>
  <c r="AQ120" i="24"/>
  <c r="AS120" i="24"/>
  <c r="AQ138" i="24"/>
  <c r="AS138" i="24"/>
  <c r="AQ127" i="24"/>
  <c r="AS127" i="24"/>
  <c r="AQ178" i="24"/>
  <c r="AS178" i="24"/>
  <c r="AQ28" i="24"/>
  <c r="AS28" i="24"/>
  <c r="AQ89" i="24"/>
  <c r="AS89" i="24"/>
  <c r="AQ21" i="24"/>
  <c r="AS21" i="24"/>
  <c r="AQ268" i="24"/>
  <c r="AS268" i="24"/>
  <c r="AQ254" i="24"/>
  <c r="AS254" i="24"/>
  <c r="AQ299" i="24"/>
  <c r="AS299" i="24"/>
  <c r="AQ293" i="24"/>
  <c r="AS293" i="24"/>
  <c r="AQ251" i="24"/>
  <c r="AS251" i="24"/>
  <c r="AQ294" i="24"/>
  <c r="AS294" i="24"/>
  <c r="AQ229" i="24"/>
  <c r="AS229" i="24"/>
  <c r="AQ252" i="24"/>
  <c r="AS252" i="24"/>
  <c r="AQ273" i="24"/>
  <c r="AS273" i="24"/>
  <c r="AQ244" i="24"/>
  <c r="AS244" i="24"/>
  <c r="AQ253" i="24"/>
  <c r="AS253" i="24"/>
  <c r="AQ259" i="24"/>
  <c r="AS259" i="24"/>
  <c r="AQ279" i="24"/>
  <c r="AS279" i="24"/>
  <c r="AQ274" i="24"/>
  <c r="AS274" i="24"/>
  <c r="AQ267" i="24"/>
  <c r="AS267" i="24"/>
  <c r="AQ246" i="24"/>
  <c r="AS246" i="24"/>
  <c r="AQ223" i="24"/>
  <c r="AS223" i="24"/>
  <c r="AQ216" i="24"/>
  <c r="AS216" i="24"/>
  <c r="AQ222" i="24"/>
  <c r="AS222" i="24"/>
  <c r="AQ46" i="24"/>
  <c r="AS46" i="24"/>
  <c r="AQ139" i="24"/>
  <c r="AS139" i="24"/>
  <c r="AQ148" i="24"/>
  <c r="AS148" i="24"/>
  <c r="AQ300" i="24"/>
  <c r="AS300" i="24"/>
  <c r="AQ79" i="24"/>
  <c r="AS79" i="24"/>
  <c r="AQ171" i="24"/>
  <c r="AS171" i="24"/>
  <c r="AQ145" i="24"/>
  <c r="AS145" i="24"/>
  <c r="AQ19" i="24"/>
  <c r="AS19" i="24"/>
  <c r="AQ31" i="24"/>
  <c r="AS31" i="24"/>
  <c r="AQ283" i="24"/>
  <c r="AS283" i="24"/>
  <c r="AQ301" i="24"/>
  <c r="AS301" i="24"/>
  <c r="AQ314" i="24"/>
  <c r="AS314" i="24"/>
  <c r="AQ261" i="24"/>
  <c r="AS261" i="24"/>
  <c r="AQ297" i="24"/>
  <c r="AS297" i="24"/>
  <c r="AQ302" i="24"/>
  <c r="AS302" i="24"/>
  <c r="AQ54" i="24"/>
  <c r="AS54" i="24"/>
  <c r="AQ92" i="24"/>
  <c r="AS92" i="24"/>
  <c r="AQ140" i="24"/>
  <c r="AS140" i="24"/>
  <c r="AQ125" i="24"/>
  <c r="AS125" i="24"/>
  <c r="AQ111" i="24"/>
  <c r="AS111" i="24"/>
  <c r="AQ72" i="24"/>
  <c r="AS72" i="24"/>
  <c r="AQ143" i="24"/>
  <c r="AS143" i="24"/>
  <c r="AQ175" i="24"/>
  <c r="AS175" i="24"/>
  <c r="AQ154" i="24"/>
  <c r="AS154" i="24"/>
  <c r="AQ290" i="24"/>
  <c r="AS290" i="24"/>
  <c r="AQ303" i="24"/>
  <c r="AS303" i="24"/>
  <c r="AQ286" i="24"/>
  <c r="AS286" i="24"/>
  <c r="AQ218" i="24"/>
  <c r="AS218" i="24"/>
  <c r="AQ228" i="24"/>
  <c r="AS228" i="24"/>
  <c r="AQ258" i="24"/>
  <c r="AS258" i="24"/>
  <c r="AQ285" i="24"/>
  <c r="AS285" i="24"/>
  <c r="AQ316" i="24"/>
  <c r="AS316" i="24"/>
  <c r="AQ82" i="24"/>
  <c r="AS82" i="24"/>
  <c r="AQ74" i="24"/>
  <c r="AS74" i="24"/>
  <c r="AQ68" i="24"/>
  <c r="AS68" i="24"/>
  <c r="AQ160" i="24"/>
  <c r="AS160" i="24"/>
  <c r="AQ121" i="24"/>
  <c r="AS121" i="24"/>
  <c r="AQ118" i="24"/>
  <c r="AS118" i="24"/>
  <c r="AQ113" i="24"/>
  <c r="AS113" i="24"/>
  <c r="AQ124" i="24"/>
  <c r="AS124" i="24"/>
  <c r="AQ144" i="24"/>
  <c r="AS144" i="24"/>
  <c r="AQ83" i="24"/>
  <c r="AS83" i="24"/>
  <c r="AQ56" i="24"/>
  <c r="AS56" i="24"/>
  <c r="AQ272" i="24"/>
  <c r="AS272" i="24"/>
  <c r="AQ277" i="24"/>
  <c r="AS277" i="24"/>
  <c r="AQ281" i="24"/>
  <c r="AS281" i="24"/>
  <c r="AQ239" i="24"/>
  <c r="AS239" i="24"/>
  <c r="AQ309" i="24"/>
  <c r="AS309" i="24"/>
  <c r="AQ234" i="24"/>
  <c r="AS234" i="24"/>
  <c r="AQ241" i="24"/>
  <c r="AS241" i="24"/>
  <c r="AQ227" i="24"/>
  <c r="AS227" i="24"/>
  <c r="AQ298" i="24"/>
  <c r="AS298" i="24"/>
  <c r="AQ287" i="24"/>
  <c r="AS287" i="24"/>
  <c r="AQ233" i="24"/>
  <c r="AS233" i="24"/>
  <c r="AQ256" i="24"/>
  <c r="AS256" i="24"/>
  <c r="AQ236" i="24"/>
  <c r="AS236" i="24"/>
  <c r="AQ266" i="24"/>
  <c r="AS266" i="24"/>
  <c r="AQ313" i="24"/>
  <c r="AS313" i="24"/>
  <c r="AQ307" i="24"/>
  <c r="AS307" i="24"/>
  <c r="AQ250" i="24"/>
  <c r="AS250" i="24"/>
  <c r="AQ264" i="24"/>
  <c r="AS264" i="24"/>
  <c r="AQ224" i="24"/>
  <c r="AS224" i="24"/>
  <c r="AQ315" i="24"/>
  <c r="AS315" i="24"/>
  <c r="AQ63" i="24"/>
  <c r="AS63" i="24"/>
  <c r="AQ292" i="24"/>
  <c r="AS292" i="24"/>
  <c r="AQ158" i="24"/>
  <c r="AS158" i="24"/>
  <c r="AQ153" i="24"/>
  <c r="AS153" i="24"/>
  <c r="AQ129" i="24"/>
  <c r="AS129" i="24"/>
  <c r="AQ116" i="24"/>
  <c r="AS116" i="24"/>
  <c r="AQ177" i="24"/>
  <c r="AS177" i="24"/>
  <c r="AQ151" i="24"/>
  <c r="AS151" i="24"/>
  <c r="AQ180" i="24"/>
  <c r="AS180" i="24"/>
  <c r="AQ29" i="24"/>
  <c r="AS29" i="24"/>
  <c r="AN43" i="24" l="1"/>
  <c r="AX43" i="24" s="1"/>
  <c r="BH110" i="25"/>
  <c r="BG110" i="25"/>
  <c r="BS110" i="25"/>
  <c r="BF110" i="25"/>
  <c r="AX172" i="24"/>
  <c r="AX123" i="24"/>
  <c r="BS115" i="24"/>
  <c r="AX181" i="24"/>
  <c r="BS155" i="24"/>
  <c r="AX195" i="24"/>
  <c r="BS157" i="24"/>
  <c r="AX208" i="24"/>
  <c r="BT210" i="24"/>
  <c r="BT195" i="24"/>
  <c r="AX157" i="24"/>
  <c r="AX115" i="24"/>
  <c r="BT122" i="24"/>
  <c r="BS123" i="24"/>
  <c r="BH181" i="24"/>
  <c r="BS210" i="24"/>
  <c r="BH208" i="24"/>
  <c r="AQ136" i="24"/>
  <c r="BI136" i="24"/>
  <c r="BJ136" i="24"/>
  <c r="CB196" i="24"/>
  <c r="BJ196" i="24"/>
  <c r="BI196" i="24"/>
  <c r="BH196" i="24"/>
  <c r="BT196" i="24"/>
  <c r="BS196" i="24"/>
  <c r="AX196" i="24"/>
  <c r="CB204" i="24"/>
  <c r="BJ204" i="24"/>
  <c r="BI204" i="24"/>
  <c r="BH204" i="24"/>
  <c r="BS204" i="24"/>
  <c r="BT204" i="24"/>
  <c r="AX204" i="24"/>
  <c r="CB198" i="24"/>
  <c r="BI198" i="24"/>
  <c r="BJ198" i="24"/>
  <c r="BT198" i="24"/>
  <c r="BS198" i="24"/>
  <c r="BH198" i="24"/>
  <c r="AX198" i="24"/>
  <c r="CB170" i="24"/>
  <c r="BI170" i="24"/>
  <c r="BJ170" i="24"/>
  <c r="BT170" i="24"/>
  <c r="BS170" i="24"/>
  <c r="BH170" i="24"/>
  <c r="AX170" i="24"/>
  <c r="CB189" i="24"/>
  <c r="BI189" i="24"/>
  <c r="BJ189" i="24"/>
  <c r="AX189" i="24"/>
  <c r="BT189" i="24"/>
  <c r="BS189" i="24"/>
  <c r="BH189" i="24"/>
  <c r="CB132" i="24"/>
  <c r="BJ132" i="24"/>
  <c r="BI132" i="24"/>
  <c r="BS132" i="24"/>
  <c r="BT132" i="24"/>
  <c r="BH132" i="24"/>
  <c r="AX132" i="24"/>
  <c r="BS136" i="24"/>
  <c r="BH136" i="24"/>
  <c r="CB163" i="24"/>
  <c r="BJ163" i="24"/>
  <c r="BI163" i="24"/>
  <c r="BS163" i="24"/>
  <c r="BT163" i="24"/>
  <c r="AX163" i="24"/>
  <c r="BH163" i="24"/>
  <c r="CB131" i="24"/>
  <c r="BI131" i="24"/>
  <c r="BJ131" i="24"/>
  <c r="BS131" i="24"/>
  <c r="BT131" i="24"/>
  <c r="AX131" i="24"/>
  <c r="BH131" i="24"/>
  <c r="CB186" i="24"/>
  <c r="BI186" i="24"/>
  <c r="BJ186" i="24"/>
  <c r="BT186" i="24"/>
  <c r="BS186" i="24"/>
  <c r="BH186" i="24"/>
  <c r="AX186" i="24"/>
  <c r="CB112" i="24"/>
  <c r="BI112" i="24"/>
  <c r="BJ112" i="24"/>
  <c r="AQ184" i="24"/>
  <c r="BI184" i="24"/>
  <c r="BJ184" i="24"/>
  <c r="BT184" i="24"/>
  <c r="BS184" i="24"/>
  <c r="BH184" i="24"/>
  <c r="AX184" i="24"/>
  <c r="CB174" i="24"/>
  <c r="BI174" i="24"/>
  <c r="BJ174" i="24"/>
  <c r="BS174" i="24"/>
  <c r="AX174" i="24"/>
  <c r="BT174" i="24"/>
  <c r="BH174" i="24"/>
  <c r="CB156" i="24"/>
  <c r="BI156" i="24"/>
  <c r="BJ156" i="24"/>
  <c r="BS156" i="24"/>
  <c r="BT156" i="24"/>
  <c r="BH156" i="24"/>
  <c r="AX156" i="24"/>
  <c r="CB117" i="24"/>
  <c r="BI117" i="24"/>
  <c r="BJ117" i="24"/>
  <c r="AX117" i="24"/>
  <c r="BS117" i="24"/>
  <c r="BH117" i="24"/>
  <c r="BT117" i="24"/>
  <c r="CB176" i="24"/>
  <c r="BI176" i="24"/>
  <c r="BJ176" i="24"/>
  <c r="BH176" i="24"/>
  <c r="BS176" i="24"/>
  <c r="BT176" i="24"/>
  <c r="AX176" i="24"/>
  <c r="AQ114" i="24"/>
  <c r="BI114" i="24"/>
  <c r="BJ114" i="24"/>
  <c r="BT114" i="24"/>
  <c r="AX114" i="24"/>
  <c r="BH114" i="24"/>
  <c r="BS114" i="24"/>
  <c r="CB130" i="24"/>
  <c r="BI130" i="24"/>
  <c r="BJ130" i="24"/>
  <c r="AX130" i="24"/>
  <c r="BT130" i="24"/>
  <c r="BH130" i="24"/>
  <c r="BS130" i="24"/>
  <c r="AS167" i="24"/>
  <c r="AU167" i="24" s="1"/>
  <c r="BI167" i="24"/>
  <c r="BJ167" i="24"/>
  <c r="BT167" i="24"/>
  <c r="BH167" i="24"/>
  <c r="BS167" i="24"/>
  <c r="AX167" i="24"/>
  <c r="CB159" i="24"/>
  <c r="BJ159" i="24"/>
  <c r="BI159" i="24"/>
  <c r="BS159" i="24"/>
  <c r="BT159" i="24"/>
  <c r="BH159" i="24"/>
  <c r="AX159" i="24"/>
  <c r="BI146" i="24"/>
  <c r="BJ146" i="24"/>
  <c r="BT146" i="24"/>
  <c r="AX146" i="24"/>
  <c r="BH146" i="24"/>
  <c r="BS146" i="24"/>
  <c r="CB128" i="24"/>
  <c r="BI128" i="24"/>
  <c r="BJ128" i="24"/>
  <c r="BT128" i="24"/>
  <c r="BS128" i="24"/>
  <c r="BH128" i="24"/>
  <c r="AX128" i="24"/>
  <c r="CB152" i="24"/>
  <c r="BJ152" i="24"/>
  <c r="BI152" i="24"/>
  <c r="BT152" i="24"/>
  <c r="BH152" i="24"/>
  <c r="BS152" i="24"/>
  <c r="AX152" i="24"/>
  <c r="CB165" i="24"/>
  <c r="BJ165" i="24"/>
  <c r="BI165" i="24"/>
  <c r="BS165" i="24"/>
  <c r="AX165" i="24"/>
  <c r="BT165" i="24"/>
  <c r="BH165" i="24"/>
  <c r="BT136" i="24"/>
  <c r="AS165" i="24"/>
  <c r="AU165" i="24" s="1"/>
  <c r="BI110" i="24"/>
  <c r="BJ110" i="24"/>
  <c r="BS110" i="24"/>
  <c r="AX110" i="24"/>
  <c r="BT110" i="24"/>
  <c r="BH110" i="24"/>
  <c r="CB123" i="24"/>
  <c r="BI123" i="24"/>
  <c r="BJ123" i="24"/>
  <c r="CB194" i="24"/>
  <c r="BI194" i="24"/>
  <c r="BJ194" i="24"/>
  <c r="BS194" i="24"/>
  <c r="BT194" i="24"/>
  <c r="BH194" i="24"/>
  <c r="AX194" i="24"/>
  <c r="BI169" i="24"/>
  <c r="BJ169" i="24"/>
  <c r="CB207" i="24"/>
  <c r="BI207" i="24"/>
  <c r="BJ207" i="24"/>
  <c r="CB172" i="24"/>
  <c r="BJ172" i="24"/>
  <c r="BI172" i="24"/>
  <c r="CB192" i="24"/>
  <c r="BI192" i="24"/>
  <c r="BJ192" i="24"/>
  <c r="BT192" i="24"/>
  <c r="AX192" i="24"/>
  <c r="BH192" i="24"/>
  <c r="BS192" i="24"/>
  <c r="CB199" i="24"/>
  <c r="BI199" i="24"/>
  <c r="BJ199" i="24"/>
  <c r="BS199" i="24"/>
  <c r="BH199" i="24"/>
  <c r="BT199" i="24"/>
  <c r="AX199" i="24"/>
  <c r="CB157" i="24"/>
  <c r="BJ157" i="24"/>
  <c r="BI157" i="24"/>
  <c r="CB141" i="24"/>
  <c r="BI141" i="24"/>
  <c r="BJ141" i="24"/>
  <c r="AX141" i="24"/>
  <c r="BS141" i="24"/>
  <c r="BT141" i="24"/>
  <c r="BH141" i="24"/>
  <c r="CB188" i="24"/>
  <c r="BJ188" i="24"/>
  <c r="BI188" i="24"/>
  <c r="BH188" i="24"/>
  <c r="BS188" i="24"/>
  <c r="BT188" i="24"/>
  <c r="AX188" i="24"/>
  <c r="CB209" i="24"/>
  <c r="BI209" i="24"/>
  <c r="BJ209" i="24"/>
  <c r="BH209" i="24"/>
  <c r="BS209" i="24"/>
  <c r="BT209" i="24"/>
  <c r="AX209" i="24"/>
  <c r="AS133" i="24"/>
  <c r="AU133" i="24" s="1"/>
  <c r="BI133" i="24"/>
  <c r="BJ133" i="24"/>
  <c r="AX133" i="24"/>
  <c r="BS133" i="24"/>
  <c r="BH133" i="24"/>
  <c r="BT133" i="24"/>
  <c r="CB206" i="24"/>
  <c r="BI206" i="24"/>
  <c r="BJ206" i="24"/>
  <c r="BT206" i="24"/>
  <c r="BS206" i="24"/>
  <c r="AX206" i="24"/>
  <c r="BH206" i="24"/>
  <c r="AS166" i="24"/>
  <c r="AU166" i="24" s="1"/>
  <c r="BI166" i="24"/>
  <c r="BJ166" i="24"/>
  <c r="BS166" i="24"/>
  <c r="BH166" i="24"/>
  <c r="BT166" i="24"/>
  <c r="AX166" i="24"/>
  <c r="AQ191" i="24"/>
  <c r="BI191" i="24"/>
  <c r="BJ191" i="24"/>
  <c r="BS191" i="24"/>
  <c r="BT191" i="24"/>
  <c r="BH191" i="24"/>
  <c r="AX191" i="24"/>
  <c r="AX207" i="24"/>
  <c r="BT112" i="24"/>
  <c r="BH112" i="24"/>
  <c r="BT172" i="24"/>
  <c r="BH169" i="24"/>
  <c r="BS169" i="24"/>
  <c r="CB134" i="24"/>
  <c r="BJ134" i="24"/>
  <c r="BI134" i="24"/>
  <c r="BS134" i="24"/>
  <c r="BH134" i="24"/>
  <c r="AX134" i="24"/>
  <c r="BT134" i="24"/>
  <c r="AQ161" i="24"/>
  <c r="BJ161" i="24"/>
  <c r="BI161" i="24"/>
  <c r="AX161" i="24"/>
  <c r="BS161" i="24"/>
  <c r="BH161" i="24"/>
  <c r="BT161" i="24"/>
  <c r="BI168" i="24"/>
  <c r="BJ168" i="24"/>
  <c r="BH168" i="24"/>
  <c r="BS168" i="24"/>
  <c r="BT168" i="24"/>
  <c r="AX168" i="24"/>
  <c r="CB147" i="24"/>
  <c r="BJ147" i="24"/>
  <c r="BI147" i="24"/>
  <c r="BS147" i="24"/>
  <c r="BT147" i="24"/>
  <c r="AX147" i="24"/>
  <c r="BH147" i="24"/>
  <c r="CB182" i="24"/>
  <c r="BI182" i="24"/>
  <c r="BJ182" i="24"/>
  <c r="BS182" i="24"/>
  <c r="BT182" i="24"/>
  <c r="AX182" i="24"/>
  <c r="BH182" i="24"/>
  <c r="BJ155" i="24"/>
  <c r="BI155" i="24"/>
  <c r="CB149" i="24"/>
  <c r="BJ149" i="24"/>
  <c r="BI149" i="24"/>
  <c r="BS149" i="24"/>
  <c r="AX149" i="24"/>
  <c r="BT149" i="24"/>
  <c r="BH149" i="24"/>
  <c r="AS115" i="24"/>
  <c r="AU115" i="24" s="1"/>
  <c r="BI115" i="24"/>
  <c r="BJ115" i="24"/>
  <c r="CB210" i="24"/>
  <c r="BI210" i="24"/>
  <c r="BJ210" i="24"/>
  <c r="BI203" i="24"/>
  <c r="BJ203" i="24"/>
  <c r="BT203" i="24"/>
  <c r="BH203" i="24"/>
  <c r="BS203" i="24"/>
  <c r="AX203" i="24"/>
  <c r="CB205" i="24"/>
  <c r="BI205" i="24"/>
  <c r="BJ205" i="24"/>
  <c r="AX205" i="24"/>
  <c r="BS205" i="24"/>
  <c r="BT205" i="24"/>
  <c r="BH205" i="24"/>
  <c r="BI181" i="24"/>
  <c r="BJ181" i="24"/>
  <c r="AQ208" i="24"/>
  <c r="BI208" i="24"/>
  <c r="BJ208" i="24"/>
  <c r="CB119" i="24"/>
  <c r="BI119" i="24"/>
  <c r="BJ119" i="24"/>
  <c r="BS119" i="24"/>
  <c r="AX119" i="24"/>
  <c r="BT119" i="24"/>
  <c r="BH119" i="24"/>
  <c r="AQ162" i="24"/>
  <c r="BI162" i="24"/>
  <c r="BJ162" i="24"/>
  <c r="BT162" i="24"/>
  <c r="BH162" i="24"/>
  <c r="AX162" i="24"/>
  <c r="BS162" i="24"/>
  <c r="CB195" i="24"/>
  <c r="BI195" i="24"/>
  <c r="BJ195" i="24"/>
  <c r="CB150" i="24"/>
  <c r="BI150" i="24"/>
  <c r="BJ150" i="24"/>
  <c r="BS150" i="24"/>
  <c r="BH150" i="24"/>
  <c r="BT150" i="24"/>
  <c r="AX150" i="24"/>
  <c r="AS122" i="24"/>
  <c r="AW122" i="24" s="1"/>
  <c r="BI122" i="24"/>
  <c r="BJ122" i="24"/>
  <c r="CB193" i="24"/>
  <c r="BI193" i="24"/>
  <c r="BJ193" i="24"/>
  <c r="AX193" i="24"/>
  <c r="BT193" i="24"/>
  <c r="BH193" i="24"/>
  <c r="BS193" i="24"/>
  <c r="BH207" i="24"/>
  <c r="BS207" i="24"/>
  <c r="BH210" i="24"/>
  <c r="AX155" i="24"/>
  <c r="BT155" i="24"/>
  <c r="AX112" i="24"/>
  <c r="BS112" i="24"/>
  <c r="BS195" i="24"/>
  <c r="BH157" i="24"/>
  <c r="BH115" i="24"/>
  <c r="BS172" i="24"/>
  <c r="AX122" i="24"/>
  <c r="BH122" i="24"/>
  <c r="BH123" i="24"/>
  <c r="BS208" i="24"/>
  <c r="BT181" i="24"/>
  <c r="BT169" i="24"/>
  <c r="AX136" i="24"/>
  <c r="AQ152" i="24"/>
  <c r="BT55" i="24"/>
  <c r="AV7" i="24"/>
  <c r="AX50" i="24"/>
  <c r="BT50" i="24"/>
  <c r="AX87" i="24"/>
  <c r="BT87" i="24"/>
  <c r="AV48" i="24"/>
  <c r="AV81" i="24"/>
  <c r="BT81" i="24"/>
  <c r="BH70" i="24"/>
  <c r="BT70" i="24"/>
  <c r="AS152" i="24"/>
  <c r="AW152" i="24" s="1"/>
  <c r="AV20" i="24"/>
  <c r="AX91" i="24"/>
  <c r="BT91" i="24"/>
  <c r="BH27" i="24"/>
  <c r="BT27" i="24"/>
  <c r="AX105" i="24"/>
  <c r="BT105" i="24"/>
  <c r="BS101" i="24"/>
  <c r="BT101" i="24"/>
  <c r="AV38" i="24"/>
  <c r="AV62" i="24"/>
  <c r="AV39" i="24"/>
  <c r="AV77" i="24"/>
  <c r="AV76" i="24"/>
  <c r="BT97" i="24"/>
  <c r="BT43" i="24"/>
  <c r="BT64" i="24"/>
  <c r="BT33" i="24"/>
  <c r="AX86" i="24"/>
  <c r="BT86" i="24"/>
  <c r="BS14" i="24"/>
  <c r="BT14" i="24"/>
  <c r="AV57" i="24"/>
  <c r="AV90" i="24"/>
  <c r="AV44" i="24"/>
  <c r="AV84" i="24"/>
  <c r="AV93" i="24"/>
  <c r="AT103" i="24"/>
  <c r="BA103" i="24" s="1"/>
  <c r="BT34" i="24"/>
  <c r="AV22" i="24"/>
  <c r="BT22" i="24"/>
  <c r="AX69" i="24"/>
  <c r="BT69" i="24"/>
  <c r="AX23" i="24"/>
  <c r="BT23" i="24"/>
  <c r="AX95" i="24"/>
  <c r="BT95" i="24"/>
  <c r="AT52" i="24"/>
  <c r="BA52" i="24" s="1"/>
  <c r="AV45" i="24"/>
  <c r="AV80" i="24"/>
  <c r="AV71" i="24"/>
  <c r="BH10" i="24"/>
  <c r="BT10" i="24"/>
  <c r="AT66" i="24"/>
  <c r="BA66" i="24" s="1"/>
  <c r="AT67" i="24"/>
  <c r="BA67" i="24" s="1"/>
  <c r="AX25" i="24"/>
  <c r="BT25" i="24"/>
  <c r="AV98" i="24"/>
  <c r="AV75" i="24"/>
  <c r="AX78" i="24"/>
  <c r="BT78" i="24"/>
  <c r="BT35" i="24"/>
  <c r="BT41" i="24"/>
  <c r="BT65" i="24"/>
  <c r="AU58" i="25"/>
  <c r="BC58" i="25" s="1"/>
  <c r="BR58" i="25" s="1"/>
  <c r="AQ193" i="24"/>
  <c r="AS278" i="24"/>
  <c r="AW278" i="24" s="1"/>
  <c r="BH78" i="24"/>
  <c r="AQ278" i="24"/>
  <c r="AQ182" i="24"/>
  <c r="AV103" i="24"/>
  <c r="BI78" i="24"/>
  <c r="BS78" i="24"/>
  <c r="AS182" i="24"/>
  <c r="AU182" i="24" s="1"/>
  <c r="AS78" i="24"/>
  <c r="AW78" i="24" s="1"/>
  <c r="AY78" i="24" s="1"/>
  <c r="AS305" i="24"/>
  <c r="AU305" i="24" s="1"/>
  <c r="AQ70" i="24"/>
  <c r="BI70" i="24"/>
  <c r="BJ70" i="24"/>
  <c r="BS70" i="24"/>
  <c r="AX70" i="24"/>
  <c r="AS70" i="24"/>
  <c r="AW70" i="24" s="1"/>
  <c r="AY70" i="24" s="1"/>
  <c r="AS193" i="24"/>
  <c r="AU193" i="24" s="1"/>
  <c r="AQ78" i="24"/>
  <c r="BJ78" i="24"/>
  <c r="AQ237" i="24"/>
  <c r="AS203" i="24"/>
  <c r="AU203" i="24" s="1"/>
  <c r="CB203" i="24"/>
  <c r="AQ155" i="24"/>
  <c r="CB155" i="24"/>
  <c r="BH51" i="24"/>
  <c r="CB51" i="24"/>
  <c r="AQ128" i="24"/>
  <c r="AX73" i="24"/>
  <c r="CB73" i="24"/>
  <c r="AQ168" i="24"/>
  <c r="CB168" i="24"/>
  <c r="AQ146" i="24"/>
  <c r="CB146" i="24"/>
  <c r="AS260" i="24"/>
  <c r="AU260" i="24" s="1"/>
  <c r="CB260" i="24"/>
  <c r="AS289" i="24"/>
  <c r="AU289" i="24" s="1"/>
  <c r="CB289" i="24"/>
  <c r="AX60" i="24"/>
  <c r="CB60" i="24"/>
  <c r="AS238" i="24"/>
  <c r="AU238" i="24" s="1"/>
  <c r="AS128" i="24"/>
  <c r="AW128" i="24" s="1"/>
  <c r="AS132" i="24"/>
  <c r="AW132" i="24" s="1"/>
  <c r="AQ132" i="24"/>
  <c r="AS191" i="24"/>
  <c r="AU191" i="24" s="1"/>
  <c r="BS25" i="24"/>
  <c r="AT75" i="24"/>
  <c r="BA75" i="24" s="1"/>
  <c r="AQ25" i="24"/>
  <c r="AS73" i="24"/>
  <c r="AU73" i="24" s="1"/>
  <c r="BB73" i="24" s="1"/>
  <c r="AQ265" i="24"/>
  <c r="AS311" i="24"/>
  <c r="AU311" i="24" s="1"/>
  <c r="AS217" i="24"/>
  <c r="AW217" i="24" s="1"/>
  <c r="AT76" i="24"/>
  <c r="BA76" i="24" s="1"/>
  <c r="AS255" i="24"/>
  <c r="AW255" i="24" s="1"/>
  <c r="AQ166" i="24"/>
  <c r="AQ262" i="24"/>
  <c r="BH55" i="24"/>
  <c r="AS159" i="24"/>
  <c r="AU159" i="24" s="1"/>
  <c r="BS73" i="24"/>
  <c r="AQ117" i="24"/>
  <c r="AS312" i="24"/>
  <c r="AU312" i="24" s="1"/>
  <c r="AS176" i="24"/>
  <c r="AU176" i="24" s="1"/>
  <c r="AS114" i="24"/>
  <c r="AU114" i="24" s="1"/>
  <c r="AS146" i="24"/>
  <c r="AW146" i="24" s="1"/>
  <c r="BJ55" i="24"/>
  <c r="AQ207" i="24"/>
  <c r="AQ133" i="24"/>
  <c r="AS189" i="24"/>
  <c r="AU189" i="24" s="1"/>
  <c r="AX81" i="24"/>
  <c r="AT81" i="24"/>
  <c r="BA81" i="24" s="1"/>
  <c r="AQ55" i="24"/>
  <c r="AQ291" i="24"/>
  <c r="AQ289" i="24"/>
  <c r="BI73" i="24"/>
  <c r="BJ25" i="24"/>
  <c r="AQ189" i="24"/>
  <c r="BH33" i="24"/>
  <c r="AQ255" i="24"/>
  <c r="BI33" i="24"/>
  <c r="AX55" i="24"/>
  <c r="AX22" i="24"/>
  <c r="AS33" i="24"/>
  <c r="AU33" i="24" s="1"/>
  <c r="BB33" i="24" s="1"/>
  <c r="AS291" i="24"/>
  <c r="AU291" i="24" s="1"/>
  <c r="BJ33" i="24"/>
  <c r="AS55" i="24"/>
  <c r="AW55" i="24" s="1"/>
  <c r="AY55" i="24" s="1"/>
  <c r="AQ33" i="24"/>
  <c r="BI55" i="24"/>
  <c r="BS33" i="24"/>
  <c r="AS181" i="24"/>
  <c r="AU181" i="24" s="1"/>
  <c r="CB181" i="24"/>
  <c r="AQ130" i="24"/>
  <c r="AQ122" i="24"/>
  <c r="AS295" i="24"/>
  <c r="AU295" i="24" s="1"/>
  <c r="AQ73" i="24"/>
  <c r="AS242" i="24"/>
  <c r="AU242" i="24" s="1"/>
  <c r="BH73" i="24"/>
  <c r="AQ306" i="24"/>
  <c r="CB306" i="24"/>
  <c r="AQ217" i="24"/>
  <c r="AQ167" i="24"/>
  <c r="AS147" i="24"/>
  <c r="AW147" i="24" s="1"/>
  <c r="BJ73" i="24"/>
  <c r="AV67" i="24"/>
  <c r="AT93" i="24"/>
  <c r="BA93" i="24" s="1"/>
  <c r="AQ147" i="24"/>
  <c r="AV66" i="24"/>
  <c r="AS168" i="24"/>
  <c r="AU168" i="24" s="1"/>
  <c r="AS170" i="24"/>
  <c r="AW170" i="24" s="1"/>
  <c r="AQ263" i="24"/>
  <c r="AQ269" i="24"/>
  <c r="AQ159" i="24"/>
  <c r="AQ176" i="24"/>
  <c r="AT98" i="24"/>
  <c r="BA98" i="24" s="1"/>
  <c r="BH25" i="24"/>
  <c r="AS25" i="24"/>
  <c r="AW25" i="24" s="1"/>
  <c r="AY25" i="24" s="1"/>
  <c r="AQ170" i="24"/>
  <c r="AS130" i="24"/>
  <c r="AU130" i="24" s="1"/>
  <c r="BI25" i="24"/>
  <c r="AT84" i="24"/>
  <c r="BA84" i="24" s="1"/>
  <c r="AT90" i="24"/>
  <c r="BA90" i="24" s="1"/>
  <c r="AT44" i="24"/>
  <c r="BA44" i="24" s="1"/>
  <c r="AS265" i="24"/>
  <c r="AU265" i="24" s="1"/>
  <c r="AS226" i="24"/>
  <c r="AW226" i="24" s="1"/>
  <c r="AQ296" i="24"/>
  <c r="AQ231" i="24"/>
  <c r="AS188" i="24"/>
  <c r="AU188" i="24" s="1"/>
  <c r="AT38" i="24"/>
  <c r="BA38" i="24" s="1"/>
  <c r="AT39" i="24"/>
  <c r="BA39" i="24" s="1"/>
  <c r="AQ206" i="24"/>
  <c r="AQ181" i="24"/>
  <c r="AS206" i="24"/>
  <c r="AU206" i="24" s="1"/>
  <c r="AQ209" i="24"/>
  <c r="AT62" i="24"/>
  <c r="BA62" i="24" s="1"/>
  <c r="AT77" i="24"/>
  <c r="BA77" i="24" s="1"/>
  <c r="BJ23" i="24"/>
  <c r="AS150" i="24"/>
  <c r="AW150" i="24" s="1"/>
  <c r="AQ150" i="24"/>
  <c r="AS308" i="24"/>
  <c r="AW308" i="24" s="1"/>
  <c r="AQ10" i="24"/>
  <c r="AQ198" i="24"/>
  <c r="AS232" i="24"/>
  <c r="AU232" i="24" s="1"/>
  <c r="BJ10" i="24"/>
  <c r="AS204" i="24"/>
  <c r="AW204" i="24" s="1"/>
  <c r="AS198" i="24"/>
  <c r="AW198" i="24" s="1"/>
  <c r="AS156" i="24"/>
  <c r="AU156" i="24" s="1"/>
  <c r="AS117" i="24"/>
  <c r="AW117" i="24" s="1"/>
  <c r="AS225" i="24"/>
  <c r="AU225" i="24" s="1"/>
  <c r="AS195" i="24"/>
  <c r="AU195" i="24" s="1"/>
  <c r="AS284" i="24"/>
  <c r="AU284" i="24" s="1"/>
  <c r="AS162" i="24"/>
  <c r="AW162" i="24" s="1"/>
  <c r="AQ186" i="24"/>
  <c r="AQ156" i="24"/>
  <c r="AQ195" i="24"/>
  <c r="AQ196" i="24"/>
  <c r="AQ204" i="24"/>
  <c r="AS174" i="24"/>
  <c r="AW174" i="24" s="1"/>
  <c r="AS306" i="24"/>
  <c r="AU306" i="24" s="1"/>
  <c r="AT48" i="24"/>
  <c r="BA48" i="24" s="1"/>
  <c r="AQ169" i="24"/>
  <c r="CB169" i="24"/>
  <c r="AT71" i="24"/>
  <c r="BA71" i="24" s="1"/>
  <c r="AS10" i="24"/>
  <c r="AW10" i="24" s="1"/>
  <c r="AY10" i="24" s="1"/>
  <c r="AQ97" i="24"/>
  <c r="BI10" i="24"/>
  <c r="BH23" i="24"/>
  <c r="AQ188" i="24"/>
  <c r="BS10" i="24"/>
  <c r="AX10" i="24"/>
  <c r="AQ141" i="24"/>
  <c r="AQ192" i="24"/>
  <c r="AS209" i="24"/>
  <c r="AU209" i="24" s="1"/>
  <c r="AU40" i="24"/>
  <c r="BB40" i="24" s="1"/>
  <c r="AT80" i="24"/>
  <c r="BA80" i="24" s="1"/>
  <c r="AK71" i="24"/>
  <c r="AQ205" i="24"/>
  <c r="AQ149" i="24"/>
  <c r="AQ210" i="24"/>
  <c r="BJ51" i="24"/>
  <c r="AQ174" i="24"/>
  <c r="AV52" i="24"/>
  <c r="AQ101" i="24"/>
  <c r="AS119" i="24"/>
  <c r="AU119" i="24" s="1"/>
  <c r="AT57" i="24"/>
  <c r="BA57" i="24" s="1"/>
  <c r="AQ112" i="24"/>
  <c r="AQ172" i="24"/>
  <c r="AQ95" i="24"/>
  <c r="AQ199" i="24"/>
  <c r="AQ105" i="24"/>
  <c r="AT45" i="24"/>
  <c r="BA45" i="24" s="1"/>
  <c r="BJ95" i="24"/>
  <c r="BS51" i="24"/>
  <c r="AQ51" i="24"/>
  <c r="BI14" i="24"/>
  <c r="AS184" i="24"/>
  <c r="AW184" i="24" s="1"/>
  <c r="AQ203" i="24"/>
  <c r="AS136" i="24"/>
  <c r="AU136" i="24" s="1"/>
  <c r="AS51" i="24"/>
  <c r="AU51" i="24" s="1"/>
  <c r="BB51" i="24" s="1"/>
  <c r="BI51" i="24"/>
  <c r="AS205" i="24"/>
  <c r="AW205" i="24" s="1"/>
  <c r="AQ119" i="24"/>
  <c r="BJ50" i="24"/>
  <c r="AS208" i="24"/>
  <c r="AU208" i="24" s="1"/>
  <c r="AX51" i="24"/>
  <c r="BS95" i="24"/>
  <c r="BH95" i="24"/>
  <c r="AS112" i="24"/>
  <c r="AU112" i="24" s="1"/>
  <c r="AS141" i="24"/>
  <c r="AU141" i="24" s="1"/>
  <c r="AS95" i="24"/>
  <c r="AW95" i="24" s="1"/>
  <c r="AY95" i="24" s="1"/>
  <c r="BI95" i="24"/>
  <c r="BI60" i="24"/>
  <c r="BH60" i="24"/>
  <c r="AS60" i="24"/>
  <c r="AW60" i="24" s="1"/>
  <c r="AY60" i="24" s="1"/>
  <c r="AQ60" i="24"/>
  <c r="AQ23" i="24"/>
  <c r="AS196" i="24"/>
  <c r="AW196" i="24" s="1"/>
  <c r="BS60" i="24"/>
  <c r="AS23" i="24"/>
  <c r="AU23" i="24" s="1"/>
  <c r="BB23" i="24" s="1"/>
  <c r="BJ60" i="24"/>
  <c r="BI23" i="24"/>
  <c r="BS23" i="24"/>
  <c r="BH101" i="24"/>
  <c r="AX101" i="24"/>
  <c r="BJ101" i="24"/>
  <c r="AS157" i="24"/>
  <c r="AW157" i="24" s="1"/>
  <c r="AS101" i="24"/>
  <c r="AW101" i="24" s="1"/>
  <c r="AY101" i="24" s="1"/>
  <c r="AQ157" i="24"/>
  <c r="AS131" i="24"/>
  <c r="AW131" i="24" s="1"/>
  <c r="BI101" i="24"/>
  <c r="AS186" i="24"/>
  <c r="AW186" i="24" s="1"/>
  <c r="AS199" i="24"/>
  <c r="AU199" i="24" s="1"/>
  <c r="AS192" i="24"/>
  <c r="AU192" i="24" s="1"/>
  <c r="BS105" i="24"/>
  <c r="AS110" i="24"/>
  <c r="AU110" i="24" s="1"/>
  <c r="CB110" i="24"/>
  <c r="AS105" i="24"/>
  <c r="AW105" i="24" s="1"/>
  <c r="AY105" i="24" s="1"/>
  <c r="BJ27" i="24"/>
  <c r="AX41" i="24"/>
  <c r="AS163" i="24"/>
  <c r="AW163" i="24" s="1"/>
  <c r="AS41" i="24"/>
  <c r="AW41" i="24" s="1"/>
  <c r="AY41" i="24" s="1"/>
  <c r="AX97" i="24"/>
  <c r="BI97" i="24"/>
  <c r="AW104" i="24"/>
  <c r="AY104" i="24" s="1"/>
  <c r="AZ104" i="24" s="1"/>
  <c r="AQ163" i="24"/>
  <c r="AS123" i="24"/>
  <c r="AU123" i="24" s="1"/>
  <c r="BI41" i="24"/>
  <c r="BJ105" i="24"/>
  <c r="BS97" i="24"/>
  <c r="AQ27" i="24"/>
  <c r="BJ41" i="24"/>
  <c r="BI105" i="24"/>
  <c r="BS41" i="24"/>
  <c r="BH105" i="24"/>
  <c r="BH97" i="24"/>
  <c r="AQ41" i="24"/>
  <c r="AS97" i="24"/>
  <c r="AU97" i="24" s="1"/>
  <c r="BB97" i="24" s="1"/>
  <c r="BJ97" i="24"/>
  <c r="AS149" i="24"/>
  <c r="AU149" i="24" s="1"/>
  <c r="AQ115" i="24"/>
  <c r="BJ87" i="24"/>
  <c r="AS210" i="24"/>
  <c r="AU210" i="24" s="1"/>
  <c r="BH14" i="24"/>
  <c r="AX14" i="24"/>
  <c r="BJ14" i="24"/>
  <c r="BS87" i="24"/>
  <c r="BH50" i="24"/>
  <c r="AQ50" i="24"/>
  <c r="AS161" i="24"/>
  <c r="AU161" i="24" s="1"/>
  <c r="AS14" i="24"/>
  <c r="AW14" i="24" s="1"/>
  <c r="AY14" i="24" s="1"/>
  <c r="AQ87" i="24"/>
  <c r="AQ14" i="24"/>
  <c r="AS172" i="24"/>
  <c r="AU172" i="24" s="1"/>
  <c r="AS155" i="24"/>
  <c r="AU155" i="24" s="1"/>
  <c r="AQ131" i="24"/>
  <c r="BH86" i="24"/>
  <c r="AK34" i="24"/>
  <c r="AQ65" i="24"/>
  <c r="BS65" i="24"/>
  <c r="AS207" i="24"/>
  <c r="AW207" i="24" s="1"/>
  <c r="BI64" i="24"/>
  <c r="BJ65" i="24"/>
  <c r="BH65" i="24"/>
  <c r="AQ86" i="24"/>
  <c r="AS64" i="24"/>
  <c r="AU64" i="24" s="1"/>
  <c r="BB64" i="24" s="1"/>
  <c r="BJ86" i="24"/>
  <c r="AK65" i="24"/>
  <c r="AS134" i="24"/>
  <c r="AU134" i="24" s="1"/>
  <c r="AS43" i="24"/>
  <c r="AU43" i="24" s="1"/>
  <c r="BB43" i="24" s="1"/>
  <c r="BI27" i="24"/>
  <c r="AS194" i="24"/>
  <c r="AU194" i="24" s="1"/>
  <c r="BS43" i="24"/>
  <c r="AX27" i="24"/>
  <c r="AN88" i="24"/>
  <c r="AS27" i="24"/>
  <c r="AU27" i="24" s="1"/>
  <c r="BB27" i="24" s="1"/>
  <c r="AS91" i="24"/>
  <c r="AW91" i="24" s="1"/>
  <c r="AY91" i="24" s="1"/>
  <c r="AS169" i="24"/>
  <c r="AU169" i="24" s="1"/>
  <c r="BI43" i="24"/>
  <c r="BI91" i="24"/>
  <c r="BH91" i="24"/>
  <c r="BS27" i="24"/>
  <c r="AS50" i="24"/>
  <c r="AW50" i="24" s="1"/>
  <c r="AY50" i="24" s="1"/>
  <c r="AS86" i="24"/>
  <c r="AU86" i="24" s="1"/>
  <c r="BB86" i="24" s="1"/>
  <c r="AQ64" i="24"/>
  <c r="BI87" i="24"/>
  <c r="BI86" i="24"/>
  <c r="AS65" i="24"/>
  <c r="AU65" i="24" s="1"/>
  <c r="BB65" i="24" s="1"/>
  <c r="BH87" i="24"/>
  <c r="BS86" i="24"/>
  <c r="AX65" i="24"/>
  <c r="AX64" i="24"/>
  <c r="AN71" i="24"/>
  <c r="BJ71" i="24" s="1"/>
  <c r="AS87" i="24"/>
  <c r="AW87" i="24" s="1"/>
  <c r="AY87" i="24" s="1"/>
  <c r="BJ64" i="24"/>
  <c r="BI50" i="24"/>
  <c r="BS64" i="24"/>
  <c r="BS50" i="24"/>
  <c r="AQ91" i="24"/>
  <c r="AQ134" i="24"/>
  <c r="AQ123" i="24"/>
  <c r="BJ91" i="24"/>
  <c r="BS91" i="24"/>
  <c r="AQ194" i="24"/>
  <c r="AN13" i="24"/>
  <c r="BI13" i="24" s="1"/>
  <c r="AS81" i="24"/>
  <c r="AS22" i="24"/>
  <c r="BJ69" i="24"/>
  <c r="AT20" i="24"/>
  <c r="BA20" i="24" s="1"/>
  <c r="AN49" i="24"/>
  <c r="BT49" i="24" s="1"/>
  <c r="AR110" i="25"/>
  <c r="AT110" i="25" s="1"/>
  <c r="AY110" i="25" s="1"/>
  <c r="CB110" i="25"/>
  <c r="AQ81" i="24"/>
  <c r="BJ43" i="24"/>
  <c r="AS69" i="24"/>
  <c r="AW69" i="24" s="1"/>
  <c r="AY69" i="24" s="1"/>
  <c r="BH22" i="24"/>
  <c r="BH43" i="24"/>
  <c r="AT7" i="24"/>
  <c r="BA7" i="24" s="1"/>
  <c r="AN15" i="24"/>
  <c r="AQ43" i="24"/>
  <c r="BI22" i="24"/>
  <c r="AS34" i="24"/>
  <c r="AW34" i="24" s="1"/>
  <c r="AY34" i="24" s="1"/>
  <c r="AZ34" i="24" s="1"/>
  <c r="AK81" i="24"/>
  <c r="BI81" i="24"/>
  <c r="AQ22" i="24"/>
  <c r="BI69" i="24"/>
  <c r="BS69" i="24"/>
  <c r="AT22" i="24"/>
  <c r="BA22" i="24" s="1"/>
  <c r="BJ81" i="24"/>
  <c r="BJ22" i="24"/>
  <c r="AQ69" i="24"/>
  <c r="BS22" i="24"/>
  <c r="BS81" i="24"/>
  <c r="BH69" i="24"/>
  <c r="BH81" i="24"/>
  <c r="AK22" i="24"/>
  <c r="AN48" i="24"/>
  <c r="BT48" i="24" s="1"/>
  <c r="AK48" i="24"/>
  <c r="AK102" i="24"/>
  <c r="AN102" i="24"/>
  <c r="AK93" i="24"/>
  <c r="AN93" i="24"/>
  <c r="CB93" i="24" s="1"/>
  <c r="AQ34" i="24"/>
  <c r="BI34" i="24"/>
  <c r="BJ34" i="24"/>
  <c r="BS34" i="24"/>
  <c r="BH34" i="24"/>
  <c r="AV12" i="24"/>
  <c r="AT12" i="24"/>
  <c r="BA12" i="24" s="1"/>
  <c r="BD5" i="24"/>
  <c r="BG5" i="24" s="1"/>
  <c r="BL5" i="24" s="1"/>
  <c r="AN8" i="24"/>
  <c r="BT8" i="24" s="1"/>
  <c r="AK8" i="24"/>
  <c r="AK94" i="24"/>
  <c r="AN94" i="24"/>
  <c r="CB94" i="24" s="1"/>
  <c r="AK37" i="24"/>
  <c r="AN37" i="24"/>
  <c r="BT37" i="24" s="1"/>
  <c r="AV94" i="24"/>
  <c r="AT94" i="24"/>
  <c r="BA94" i="24" s="1"/>
  <c r="AV9" i="24"/>
  <c r="AT9" i="24"/>
  <c r="BA9" i="24" s="1"/>
  <c r="BJ35" i="24"/>
  <c r="AK35" i="24"/>
  <c r="AK98" i="24"/>
  <c r="AN98" i="24"/>
  <c r="BT98" i="24" s="1"/>
  <c r="AK90" i="24"/>
  <c r="AN90" i="24"/>
  <c r="CB90" i="24" s="1"/>
  <c r="AK103" i="24"/>
  <c r="AN103" i="24"/>
  <c r="AQ103" i="24" s="1"/>
  <c r="AV24" i="24"/>
  <c r="AT24" i="24"/>
  <c r="BA24" i="24" s="1"/>
  <c r="AV16" i="24"/>
  <c r="AT16" i="24"/>
  <c r="BA16" i="24" s="1"/>
  <c r="AK52" i="24"/>
  <c r="AN52" i="24"/>
  <c r="BT52" i="24" s="1"/>
  <c r="AN84" i="24"/>
  <c r="BT84" i="24" s="1"/>
  <c r="AK84" i="24"/>
  <c r="AN61" i="24"/>
  <c r="BT61" i="24" s="1"/>
  <c r="AK61" i="24"/>
  <c r="AK99" i="24"/>
  <c r="AN99" i="24"/>
  <c r="AK39" i="24"/>
  <c r="AN39" i="24"/>
  <c r="BT39" i="24" s="1"/>
  <c r="AN11" i="24"/>
  <c r="BT11" i="24" s="1"/>
  <c r="AK11" i="24"/>
  <c r="AK77" i="24"/>
  <c r="AN77" i="24"/>
  <c r="CB77" i="24" s="1"/>
  <c r="AN58" i="24"/>
  <c r="AK58" i="24"/>
  <c r="AS35" i="24"/>
  <c r="AU35" i="24" s="1"/>
  <c r="BB35" i="24" s="1"/>
  <c r="BS35" i="24"/>
  <c r="AX35" i="24"/>
  <c r="AN44" i="24"/>
  <c r="BT44" i="24" s="1"/>
  <c r="AK44" i="24"/>
  <c r="AK66" i="24"/>
  <c r="AN66" i="24"/>
  <c r="BT66" i="24" s="1"/>
  <c r="AN26" i="24"/>
  <c r="BT26" i="24" s="1"/>
  <c r="AK26" i="24"/>
  <c r="AK20" i="24"/>
  <c r="AN20" i="24"/>
  <c r="BT20" i="24" s="1"/>
  <c r="AN80" i="24"/>
  <c r="BT80" i="24" s="1"/>
  <c r="AK80" i="24"/>
  <c r="AK17" i="24"/>
  <c r="AN17" i="24"/>
  <c r="BT17" i="24" s="1"/>
  <c r="AK24" i="24"/>
  <c r="AN24" i="24"/>
  <c r="BT24" i="24" s="1"/>
  <c r="AN47" i="24"/>
  <c r="BT47" i="24" s="1"/>
  <c r="AK47" i="24"/>
  <c r="AN67" i="24"/>
  <c r="CB67" i="24" s="1"/>
  <c r="AK67" i="24"/>
  <c r="AN57" i="24"/>
  <c r="BT57" i="24" s="1"/>
  <c r="AK57" i="24"/>
  <c r="AK62" i="24"/>
  <c r="AN62" i="24"/>
  <c r="BT62" i="24" s="1"/>
  <c r="AV30" i="24"/>
  <c r="AT30" i="24"/>
  <c r="BA30" i="24" s="1"/>
  <c r="AN9" i="24"/>
  <c r="BS9" i="24" s="1"/>
  <c r="AK9" i="24"/>
  <c r="AN75" i="24"/>
  <c r="BT75" i="24" s="1"/>
  <c r="AK75" i="24"/>
  <c r="AQ35" i="24"/>
  <c r="BI35" i="24"/>
  <c r="AN38" i="24"/>
  <c r="BT38" i="24" s="1"/>
  <c r="AK38" i="24"/>
  <c r="AV17" i="24"/>
  <c r="AT17" i="24"/>
  <c r="BA17" i="24" s="1"/>
  <c r="AK45" i="24"/>
  <c r="AN45" i="24"/>
  <c r="BT45" i="24" s="1"/>
  <c r="AV26" i="24"/>
  <c r="AT26" i="24"/>
  <c r="BA26" i="24" s="1"/>
  <c r="AK30" i="24"/>
  <c r="AN30" i="24"/>
  <c r="BT30" i="24" s="1"/>
  <c r="AK76" i="24"/>
  <c r="AN76" i="24"/>
  <c r="BT76" i="24" s="1"/>
  <c r="AN12" i="24"/>
  <c r="BT12" i="24" s="1"/>
  <c r="AK12" i="24"/>
  <c r="AN16" i="24"/>
  <c r="BT16" i="24" s="1"/>
  <c r="AK16" i="24"/>
  <c r="AK6" i="24"/>
  <c r="AN6" i="24"/>
  <c r="AN7" i="24"/>
  <c r="BT7" i="24" s="1"/>
  <c r="AK7" i="24"/>
  <c r="BE5" i="24"/>
  <c r="BR5" i="24" s="1"/>
  <c r="AQ110" i="24"/>
  <c r="AU185" i="24"/>
  <c r="AW185" i="24"/>
  <c r="AU201" i="24"/>
  <c r="AW201" i="24"/>
  <c r="AU151" i="24"/>
  <c r="AW151" i="24"/>
  <c r="AU129" i="24"/>
  <c r="AW129" i="24"/>
  <c r="AU158" i="24"/>
  <c r="AW158" i="24"/>
  <c r="AU315" i="24"/>
  <c r="AW315" i="24"/>
  <c r="AU307" i="24"/>
  <c r="AW307" i="24"/>
  <c r="AW233" i="24"/>
  <c r="AU233" i="24"/>
  <c r="AW227" i="24"/>
  <c r="AU227" i="24"/>
  <c r="AW241" i="24"/>
  <c r="AU241" i="24"/>
  <c r="AW239" i="24"/>
  <c r="AU239" i="24"/>
  <c r="AU281" i="24"/>
  <c r="AW281" i="24"/>
  <c r="AU124" i="24"/>
  <c r="AW124" i="24"/>
  <c r="AU113" i="24"/>
  <c r="AW113" i="24"/>
  <c r="AU118" i="24"/>
  <c r="AW118" i="24"/>
  <c r="AU285" i="24"/>
  <c r="AW285" i="24"/>
  <c r="AU286" i="24"/>
  <c r="AW286" i="24"/>
  <c r="AU125" i="24"/>
  <c r="AW125" i="24"/>
  <c r="AU261" i="24"/>
  <c r="AW261" i="24"/>
  <c r="AU300" i="24"/>
  <c r="AW300" i="24"/>
  <c r="AU216" i="24"/>
  <c r="AW216" i="24"/>
  <c r="AU274" i="24"/>
  <c r="AW274" i="24"/>
  <c r="AU259" i="24"/>
  <c r="AW259" i="24"/>
  <c r="AU294" i="24"/>
  <c r="AW294" i="24"/>
  <c r="AU299" i="24"/>
  <c r="AW299" i="24"/>
  <c r="AU173" i="24"/>
  <c r="AW173" i="24"/>
  <c r="AU221" i="24"/>
  <c r="AW221" i="24"/>
  <c r="AU271" i="24"/>
  <c r="AW271" i="24"/>
  <c r="AU280" i="24"/>
  <c r="AW280" i="24"/>
  <c r="AU137" i="24"/>
  <c r="AW137" i="24"/>
  <c r="AW247" i="24"/>
  <c r="AU247" i="24"/>
  <c r="AU288" i="24"/>
  <c r="AW288" i="24"/>
  <c r="AU262" i="24"/>
  <c r="AW262" i="24"/>
  <c r="AU190" i="24"/>
  <c r="AW190" i="24"/>
  <c r="AU183" i="24"/>
  <c r="AW183" i="24"/>
  <c r="AU197" i="24"/>
  <c r="AW197" i="24"/>
  <c r="AU202" i="24"/>
  <c r="AW202" i="24"/>
  <c r="AU187" i="24"/>
  <c r="AW187" i="24"/>
  <c r="AU200" i="24"/>
  <c r="AW200" i="24"/>
  <c r="AU180" i="24"/>
  <c r="AW180" i="24"/>
  <c r="AU264" i="24"/>
  <c r="AW264" i="24"/>
  <c r="AU236" i="24"/>
  <c r="AW236" i="24"/>
  <c r="AU287" i="24"/>
  <c r="AW287" i="24"/>
  <c r="AU309" i="24"/>
  <c r="AW309" i="24"/>
  <c r="AU272" i="24"/>
  <c r="AW272" i="24"/>
  <c r="AU121" i="24"/>
  <c r="AW121" i="24"/>
  <c r="AU228" i="24"/>
  <c r="AW228" i="24"/>
  <c r="AU290" i="24"/>
  <c r="AW290" i="24"/>
  <c r="AU175" i="24"/>
  <c r="AW175" i="24"/>
  <c r="AU302" i="24"/>
  <c r="AW302" i="24"/>
  <c r="AU301" i="24"/>
  <c r="AW301" i="24"/>
  <c r="AU171" i="24"/>
  <c r="AW171" i="24"/>
  <c r="AU139" i="24"/>
  <c r="AW139" i="24"/>
  <c r="AU246" i="24"/>
  <c r="AW246" i="24"/>
  <c r="AU244" i="24"/>
  <c r="AW244" i="24"/>
  <c r="AU252" i="24"/>
  <c r="AW252" i="24"/>
  <c r="AU293" i="24"/>
  <c r="AW293" i="24"/>
  <c r="AU178" i="24"/>
  <c r="AW178" i="24"/>
  <c r="AU270" i="24"/>
  <c r="AW270" i="24"/>
  <c r="AU220" i="24"/>
  <c r="AW220" i="24"/>
  <c r="AU276" i="24"/>
  <c r="AW276" i="24"/>
  <c r="AU142" i="24"/>
  <c r="AW142" i="24"/>
  <c r="AU248" i="24"/>
  <c r="AW248" i="24"/>
  <c r="AU310" i="24"/>
  <c r="AW310" i="24"/>
  <c r="AU257" i="24"/>
  <c r="AW257" i="24"/>
  <c r="AU177" i="24"/>
  <c r="AW177" i="24"/>
  <c r="AU116" i="24"/>
  <c r="AW116" i="24"/>
  <c r="AU153" i="24"/>
  <c r="AW153" i="24"/>
  <c r="AU292" i="24"/>
  <c r="AW292" i="24"/>
  <c r="AU224" i="24"/>
  <c r="AW224" i="24"/>
  <c r="AU250" i="24"/>
  <c r="AW250" i="24"/>
  <c r="AU313" i="24"/>
  <c r="AW313" i="24"/>
  <c r="AU266" i="24"/>
  <c r="AW266" i="24"/>
  <c r="AU256" i="24"/>
  <c r="AW256" i="24"/>
  <c r="AW263" i="24"/>
  <c r="AU263" i="24"/>
  <c r="AU298" i="24"/>
  <c r="AW298" i="24"/>
  <c r="AU237" i="24"/>
  <c r="AW237" i="24"/>
  <c r="AU234" i="24"/>
  <c r="AW234" i="24"/>
  <c r="AU269" i="24"/>
  <c r="AW269" i="24"/>
  <c r="AU277" i="24"/>
  <c r="AW277" i="24"/>
  <c r="AU144" i="24"/>
  <c r="AW144" i="24"/>
  <c r="AU160" i="24"/>
  <c r="AW160" i="24"/>
  <c r="AU316" i="24"/>
  <c r="AW316" i="24"/>
  <c r="AU258" i="24"/>
  <c r="AW258" i="24"/>
  <c r="AU218" i="24"/>
  <c r="AW218" i="24"/>
  <c r="AU296" i="24"/>
  <c r="AW296" i="24"/>
  <c r="AW303" i="24"/>
  <c r="AU303" i="24"/>
  <c r="AW231" i="24"/>
  <c r="AU231" i="24"/>
  <c r="AU154" i="24"/>
  <c r="AW154" i="24"/>
  <c r="AU143" i="24"/>
  <c r="AW143" i="24"/>
  <c r="AU111" i="24"/>
  <c r="AW111" i="24"/>
  <c r="AU140" i="24"/>
  <c r="AW140" i="24"/>
  <c r="AW297" i="24"/>
  <c r="AU297" i="24"/>
  <c r="AU314" i="24"/>
  <c r="AW314" i="24"/>
  <c r="AU283" i="24"/>
  <c r="AW283" i="24"/>
  <c r="AU145" i="24"/>
  <c r="AW145" i="24"/>
  <c r="AU148" i="24"/>
  <c r="AW148" i="24"/>
  <c r="AU222" i="24"/>
  <c r="AW222" i="24"/>
  <c r="AU223" i="24"/>
  <c r="AW223" i="24"/>
  <c r="AU267" i="24"/>
  <c r="AW267" i="24"/>
  <c r="AW279" i="24"/>
  <c r="AU279" i="24"/>
  <c r="AU253" i="24"/>
  <c r="AW253" i="24"/>
  <c r="AU273" i="24"/>
  <c r="AW273" i="24"/>
  <c r="AU229" i="24"/>
  <c r="AW229" i="24"/>
  <c r="AU251" i="24"/>
  <c r="AW251" i="24"/>
  <c r="AU254" i="24"/>
  <c r="AW254" i="24"/>
  <c r="AU268" i="24"/>
  <c r="AW268" i="24"/>
  <c r="AU127" i="24"/>
  <c r="AW127" i="24"/>
  <c r="AU138" i="24"/>
  <c r="AW138" i="24"/>
  <c r="AU120" i="24"/>
  <c r="AW120" i="24"/>
  <c r="AU235" i="24"/>
  <c r="AW235" i="24"/>
  <c r="AU275" i="24"/>
  <c r="AW275" i="24"/>
  <c r="AU243" i="24"/>
  <c r="AW243" i="24"/>
  <c r="AU282" i="24"/>
  <c r="AW282" i="24"/>
  <c r="AU219" i="24"/>
  <c r="AW219" i="24"/>
  <c r="AU240" i="24"/>
  <c r="AW240" i="24"/>
  <c r="AU230" i="24"/>
  <c r="AW230" i="24"/>
  <c r="AU179" i="24"/>
  <c r="AW179" i="24"/>
  <c r="AW135" i="24"/>
  <c r="AU135" i="24"/>
  <c r="AU164" i="24"/>
  <c r="AW164" i="24"/>
  <c r="AU126" i="24"/>
  <c r="AW126" i="24"/>
  <c r="AU245" i="24"/>
  <c r="AW245" i="24"/>
  <c r="AU249" i="24"/>
  <c r="AW249" i="24"/>
  <c r="AU304" i="24"/>
  <c r="AW304" i="24"/>
  <c r="AP110" i="25"/>
  <c r="AT173" i="25"/>
  <c r="AY173" i="25" s="1"/>
  <c r="AU173" i="25"/>
  <c r="AT210" i="25"/>
  <c r="AY210" i="25" s="1"/>
  <c r="AU210" i="25"/>
  <c r="AT171" i="25"/>
  <c r="AY171" i="25" s="1"/>
  <c r="AU171" i="25"/>
  <c r="AT191" i="25"/>
  <c r="AY191" i="25" s="1"/>
  <c r="AU191" i="25"/>
  <c r="AT209" i="25"/>
  <c r="AY209" i="25" s="1"/>
  <c r="AU209" i="25"/>
  <c r="AT175" i="25"/>
  <c r="AY175" i="25" s="1"/>
  <c r="AU175" i="25"/>
  <c r="AU123" i="25"/>
  <c r="AT123" i="25"/>
  <c r="AY123" i="25" s="1"/>
  <c r="AU203" i="25"/>
  <c r="AT203" i="25"/>
  <c r="AY203" i="25" s="1"/>
  <c r="AU167" i="25"/>
  <c r="AT167" i="25"/>
  <c r="AY167" i="25" s="1"/>
  <c r="AT148" i="25"/>
  <c r="AY148" i="25" s="1"/>
  <c r="AU148" i="25"/>
  <c r="AT199" i="25"/>
  <c r="AY199" i="25" s="1"/>
  <c r="AU199" i="25"/>
  <c r="AT136" i="25"/>
  <c r="AY136" i="25" s="1"/>
  <c r="AU136" i="25"/>
  <c r="AT180" i="25"/>
  <c r="AY180" i="25" s="1"/>
  <c r="AU180" i="25"/>
  <c r="AT121" i="25"/>
  <c r="AY121" i="25" s="1"/>
  <c r="AU121" i="25"/>
  <c r="AT201" i="25"/>
  <c r="AY201" i="25" s="1"/>
  <c r="AU201" i="25"/>
  <c r="AU147" i="25"/>
  <c r="AT147" i="25"/>
  <c r="AY147" i="25" s="1"/>
  <c r="AT111" i="25"/>
  <c r="AY111" i="25" s="1"/>
  <c r="AU111" i="25"/>
  <c r="AT194" i="25"/>
  <c r="AY194" i="25" s="1"/>
  <c r="AU194" i="25"/>
  <c r="AT202" i="25"/>
  <c r="AY202" i="25" s="1"/>
  <c r="AU202" i="25"/>
  <c r="AT122" i="25"/>
  <c r="AY122" i="25" s="1"/>
  <c r="AU122" i="25"/>
  <c r="AT130" i="25"/>
  <c r="AY130" i="25" s="1"/>
  <c r="AU130" i="25"/>
  <c r="AT115" i="25"/>
  <c r="AY115" i="25" s="1"/>
  <c r="AU115" i="25"/>
  <c r="AT206" i="25"/>
  <c r="AY206" i="25" s="1"/>
  <c r="AU206" i="25"/>
  <c r="AT178" i="25"/>
  <c r="AY178" i="25" s="1"/>
  <c r="AU178" i="25"/>
  <c r="AT186" i="25"/>
  <c r="AY186" i="25" s="1"/>
  <c r="AU186" i="25"/>
  <c r="AT112" i="25"/>
  <c r="AY112" i="25" s="1"/>
  <c r="AU112" i="25"/>
  <c r="AT150" i="25"/>
  <c r="AY150" i="25" s="1"/>
  <c r="AU150" i="25"/>
  <c r="AT160" i="25"/>
  <c r="AY160" i="25" s="1"/>
  <c r="AU160" i="25"/>
  <c r="AT163" i="25"/>
  <c r="AY163" i="25" s="1"/>
  <c r="AU163" i="25"/>
  <c r="AT205" i="25"/>
  <c r="AY205" i="25" s="1"/>
  <c r="AU205" i="25"/>
  <c r="AT162" i="25"/>
  <c r="AY162" i="25" s="1"/>
  <c r="AU162" i="25"/>
  <c r="AT144" i="25"/>
  <c r="AY144" i="25" s="1"/>
  <c r="AU144" i="25"/>
  <c r="AT119" i="25"/>
  <c r="AY119" i="25" s="1"/>
  <c r="AU119" i="25"/>
  <c r="AT181" i="25"/>
  <c r="AY181" i="25" s="1"/>
  <c r="AU181" i="25"/>
  <c r="AT197" i="25"/>
  <c r="AY197" i="25" s="1"/>
  <c r="AU197" i="25"/>
  <c r="AU207" i="25"/>
  <c r="AT207" i="25"/>
  <c r="AY207" i="25" s="1"/>
  <c r="AT134" i="25"/>
  <c r="AY134" i="25" s="1"/>
  <c r="AU134" i="25"/>
  <c r="AT189" i="25"/>
  <c r="AY189" i="25" s="1"/>
  <c r="AU189" i="25"/>
  <c r="AT156" i="25"/>
  <c r="AY156" i="25" s="1"/>
  <c r="AU156" i="25"/>
  <c r="AT138" i="25"/>
  <c r="AY138" i="25" s="1"/>
  <c r="AU138" i="25"/>
  <c r="AT113" i="25"/>
  <c r="AY113" i="25" s="1"/>
  <c r="AU113" i="25"/>
  <c r="AT131" i="25"/>
  <c r="AY131" i="25" s="1"/>
  <c r="AU131" i="25"/>
  <c r="AT141" i="25"/>
  <c r="AY141" i="25" s="1"/>
  <c r="AU141" i="25"/>
  <c r="AT132" i="25"/>
  <c r="AY132" i="25" s="1"/>
  <c r="AU132" i="25"/>
  <c r="AU135" i="25"/>
  <c r="AT135" i="25"/>
  <c r="AY135" i="25" s="1"/>
  <c r="AT155" i="25"/>
  <c r="AY155" i="25" s="1"/>
  <c r="AU155" i="25"/>
  <c r="AT208" i="25"/>
  <c r="AY208" i="25" s="1"/>
  <c r="AU208" i="25"/>
  <c r="AT165" i="25"/>
  <c r="AY165" i="25" s="1"/>
  <c r="AU165" i="25"/>
  <c r="AT145" i="25"/>
  <c r="AY145" i="25" s="1"/>
  <c r="AU145" i="25"/>
  <c r="AT137" i="25"/>
  <c r="AY137" i="25" s="1"/>
  <c r="AU137" i="25"/>
  <c r="AT125" i="25"/>
  <c r="AY125" i="25" s="1"/>
  <c r="AU125" i="25"/>
  <c r="AT193" i="25"/>
  <c r="AY193" i="25" s="1"/>
  <c r="AU193" i="25"/>
  <c r="AU127" i="25"/>
  <c r="AT127" i="25"/>
  <c r="AY127" i="25" s="1"/>
  <c r="AT157" i="25"/>
  <c r="AY157" i="25" s="1"/>
  <c r="AU157" i="25"/>
  <c r="AT151" i="25"/>
  <c r="AY151" i="25" s="1"/>
  <c r="AU151" i="25"/>
  <c r="AT117" i="25"/>
  <c r="AY117" i="25" s="1"/>
  <c r="AU117" i="25"/>
  <c r="AT172" i="25"/>
  <c r="AY172" i="25" s="1"/>
  <c r="AU172" i="25"/>
  <c r="AT146" i="25"/>
  <c r="AY146" i="25" s="1"/>
  <c r="AU146" i="25"/>
  <c r="AT184" i="25"/>
  <c r="AY184" i="25" s="1"/>
  <c r="AU184" i="25"/>
  <c r="AT154" i="25"/>
  <c r="AY154" i="25" s="1"/>
  <c r="AU154" i="25"/>
  <c r="AT183" i="25"/>
  <c r="AY183" i="25" s="1"/>
  <c r="AU183" i="25"/>
  <c r="AT190" i="25"/>
  <c r="AY190" i="25" s="1"/>
  <c r="AU190" i="25"/>
  <c r="AT116" i="25"/>
  <c r="AY116" i="25" s="1"/>
  <c r="AU116" i="25"/>
  <c r="AT153" i="25"/>
  <c r="AY153" i="25" s="1"/>
  <c r="AU153" i="25"/>
  <c r="AT128" i="25"/>
  <c r="AY128" i="25" s="1"/>
  <c r="AU128" i="25"/>
  <c r="AT118" i="25"/>
  <c r="AY118" i="25" s="1"/>
  <c r="AU118" i="25"/>
  <c r="AT164" i="25"/>
  <c r="AY164" i="25" s="1"/>
  <c r="AU164" i="25"/>
  <c r="AT133" i="25"/>
  <c r="AY133" i="25" s="1"/>
  <c r="AU133" i="25"/>
  <c r="AT185" i="25"/>
  <c r="AY185" i="25" s="1"/>
  <c r="AU185" i="25"/>
  <c r="AT188" i="25"/>
  <c r="AY188" i="25" s="1"/>
  <c r="AU188" i="25"/>
  <c r="AT158" i="25"/>
  <c r="AY158" i="25" s="1"/>
  <c r="AU158" i="25"/>
  <c r="AT126" i="25"/>
  <c r="AY126" i="25" s="1"/>
  <c r="AU126" i="25"/>
  <c r="AT149" i="25"/>
  <c r="AY149" i="25" s="1"/>
  <c r="AU149" i="25"/>
  <c r="AT195" i="25"/>
  <c r="AY195" i="25" s="1"/>
  <c r="AU195" i="25"/>
  <c r="AT177" i="25"/>
  <c r="AY177" i="25" s="1"/>
  <c r="AU177" i="25"/>
  <c r="AT196" i="25"/>
  <c r="AY196" i="25" s="1"/>
  <c r="AU196" i="25"/>
  <c r="AT176" i="25"/>
  <c r="AY176" i="25" s="1"/>
  <c r="AU176" i="25"/>
  <c r="AT174" i="25"/>
  <c r="AY174" i="25" s="1"/>
  <c r="AU174" i="25"/>
  <c r="AT168" i="25"/>
  <c r="AY168" i="25" s="1"/>
  <c r="AU168" i="25"/>
  <c r="AT198" i="25"/>
  <c r="AY198" i="25" s="1"/>
  <c r="AU198" i="25"/>
  <c r="AU187" i="25"/>
  <c r="AT187" i="25"/>
  <c r="AY187" i="25" s="1"/>
  <c r="AT159" i="25"/>
  <c r="AY159" i="25" s="1"/>
  <c r="AU159" i="25"/>
  <c r="AT182" i="25"/>
  <c r="AY182" i="25" s="1"/>
  <c r="AU182" i="25"/>
  <c r="AT152" i="25"/>
  <c r="AY152" i="25" s="1"/>
  <c r="AU152" i="25"/>
  <c r="AT129" i="25"/>
  <c r="AY129" i="25" s="1"/>
  <c r="AU129" i="25"/>
  <c r="AT139" i="25"/>
  <c r="AY139" i="25" s="1"/>
  <c r="AU139" i="25"/>
  <c r="AT200" i="25"/>
  <c r="AY200" i="25" s="1"/>
  <c r="AU200" i="25"/>
  <c r="AT114" i="25"/>
  <c r="AY114" i="25" s="1"/>
  <c r="AU114" i="25"/>
  <c r="AT142" i="25"/>
  <c r="AY142" i="25" s="1"/>
  <c r="AU142" i="25"/>
  <c r="AU179" i="25"/>
  <c r="AT179" i="25"/>
  <c r="AY179" i="25" s="1"/>
  <c r="AT140" i="25"/>
  <c r="AY140" i="25" s="1"/>
  <c r="AU140" i="25"/>
  <c r="AT161" i="25"/>
  <c r="AY161" i="25" s="1"/>
  <c r="AU161" i="25"/>
  <c r="AT169" i="25"/>
  <c r="AY169" i="25" s="1"/>
  <c r="AU169" i="25"/>
  <c r="AT192" i="25"/>
  <c r="AY192" i="25" s="1"/>
  <c r="AU192" i="25"/>
  <c r="AT124" i="25"/>
  <c r="AY124" i="25" s="1"/>
  <c r="AU124" i="25"/>
  <c r="AT204" i="25"/>
  <c r="AY204" i="25" s="1"/>
  <c r="AU204" i="25"/>
  <c r="AU143" i="25"/>
  <c r="AT143" i="25"/>
  <c r="AY143" i="25" s="1"/>
  <c r="AT170" i="25"/>
  <c r="AY170" i="25" s="1"/>
  <c r="AU170" i="25"/>
  <c r="AT166" i="25"/>
  <c r="AY166" i="25" s="1"/>
  <c r="AU166" i="25"/>
  <c r="AT120" i="25"/>
  <c r="AY120" i="25" s="1"/>
  <c r="AU120" i="25"/>
  <c r="AT311" i="25"/>
  <c r="AU311" i="25"/>
  <c r="AT252" i="25"/>
  <c r="AU252" i="25"/>
  <c r="AT277" i="25"/>
  <c r="AU277" i="25"/>
  <c r="AT221" i="25"/>
  <c r="AU221" i="25"/>
  <c r="AT280" i="25"/>
  <c r="AU280" i="25"/>
  <c r="AT263" i="25"/>
  <c r="AU263" i="25"/>
  <c r="AU259" i="25"/>
  <c r="AT259" i="25"/>
  <c r="AT234" i="25"/>
  <c r="AU234" i="25"/>
  <c r="AT245" i="25"/>
  <c r="AU245" i="25"/>
  <c r="AT290" i="25"/>
  <c r="AU290" i="25"/>
  <c r="AT220" i="25"/>
  <c r="AU220" i="25"/>
  <c r="AT305" i="25"/>
  <c r="AU305" i="25"/>
  <c r="AT217" i="25"/>
  <c r="AU217" i="25"/>
  <c r="AT288" i="25"/>
  <c r="AU288" i="25"/>
  <c r="AT258" i="25"/>
  <c r="AU258" i="25"/>
  <c r="AT278" i="25"/>
  <c r="AU278" i="25"/>
  <c r="AU271" i="25"/>
  <c r="AT271" i="25"/>
  <c r="AT282" i="25"/>
  <c r="AU282" i="25"/>
  <c r="AU235" i="25"/>
  <c r="AT235" i="25"/>
  <c r="AT301" i="25"/>
  <c r="AU301" i="25"/>
  <c r="AT275" i="25"/>
  <c r="AU275" i="25"/>
  <c r="AU287" i="25"/>
  <c r="AT287" i="25"/>
  <c r="AT239" i="25"/>
  <c r="AU239" i="25"/>
  <c r="AT226" i="25"/>
  <c r="AU226" i="25"/>
  <c r="AT299" i="25"/>
  <c r="AU299" i="25"/>
  <c r="AT289" i="25"/>
  <c r="AU289" i="25"/>
  <c r="AT253" i="25"/>
  <c r="AU253" i="25"/>
  <c r="AT281" i="25"/>
  <c r="AU281" i="25"/>
  <c r="AT304" i="25"/>
  <c r="AU304" i="25"/>
  <c r="AT265" i="25"/>
  <c r="AU265" i="25"/>
  <c r="AT224" i="25"/>
  <c r="AU224" i="25"/>
  <c r="AT269" i="25"/>
  <c r="AU269" i="25"/>
  <c r="AT313" i="25"/>
  <c r="AU313" i="25"/>
  <c r="AT233" i="25"/>
  <c r="AU233" i="25"/>
  <c r="AT303" i="25"/>
  <c r="AU303" i="25"/>
  <c r="AU302" i="25"/>
  <c r="AT302" i="25"/>
  <c r="AT297" i="25"/>
  <c r="AU297" i="25"/>
  <c r="AT223" i="25"/>
  <c r="AU223" i="25"/>
  <c r="AT268" i="25"/>
  <c r="AU268" i="25"/>
  <c r="AT298" i="25"/>
  <c r="AU298" i="25"/>
  <c r="AT225" i="25"/>
  <c r="AU225" i="25"/>
  <c r="AT312" i="25"/>
  <c r="AU312" i="25"/>
  <c r="AT242" i="25"/>
  <c r="AU242" i="25"/>
  <c r="AT264" i="25"/>
  <c r="AU264" i="25"/>
  <c r="AT260" i="25"/>
  <c r="AU260" i="25"/>
  <c r="AT309" i="25"/>
  <c r="AU309" i="25"/>
  <c r="AT229" i="25"/>
  <c r="AU229" i="25"/>
  <c r="AT247" i="25"/>
  <c r="AU247" i="25"/>
  <c r="AT307" i="25"/>
  <c r="AU307" i="25"/>
  <c r="AT216" i="25"/>
  <c r="AU216" i="25"/>
  <c r="AT250" i="25"/>
  <c r="AU250" i="25"/>
  <c r="AT251" i="25"/>
  <c r="AU251" i="25"/>
  <c r="AT227" i="25"/>
  <c r="AU227" i="25"/>
  <c r="AT262" i="25"/>
  <c r="AU262" i="25"/>
  <c r="AU294" i="25"/>
  <c r="AT294" i="25"/>
  <c r="AT314" i="25"/>
  <c r="AU314" i="25"/>
  <c r="AU295" i="25"/>
  <c r="AT295" i="25"/>
  <c r="AT296" i="25"/>
  <c r="AU296" i="25"/>
  <c r="AT279" i="25"/>
  <c r="AU279" i="25"/>
  <c r="AT246" i="25"/>
  <c r="AU246" i="25"/>
  <c r="AT236" i="25"/>
  <c r="AU236" i="25"/>
  <c r="AT284" i="25"/>
  <c r="AU284" i="25"/>
  <c r="AU306" i="25"/>
  <c r="AT306" i="25"/>
  <c r="AT308" i="25"/>
  <c r="AU308" i="25"/>
  <c r="AT238" i="25"/>
  <c r="AU238" i="25"/>
  <c r="AT292" i="25"/>
  <c r="AU292" i="25"/>
  <c r="AT244" i="25"/>
  <c r="AU244" i="25"/>
  <c r="AT285" i="25"/>
  <c r="AU285" i="25"/>
  <c r="AT293" i="25"/>
  <c r="AU293" i="25"/>
  <c r="AT270" i="25"/>
  <c r="AU270" i="25"/>
  <c r="AT266" i="25"/>
  <c r="AU266" i="25"/>
  <c r="AT291" i="25"/>
  <c r="AU291" i="25"/>
  <c r="AT248" i="25"/>
  <c r="AU248" i="25"/>
  <c r="AT300" i="25"/>
  <c r="AU300" i="25"/>
  <c r="AT219" i="25"/>
  <c r="AU219" i="25"/>
  <c r="AT315" i="25"/>
  <c r="AU315" i="25"/>
  <c r="AT310" i="25"/>
  <c r="AU310" i="25"/>
  <c r="AT276" i="25"/>
  <c r="AU276" i="25"/>
  <c r="AT241" i="25"/>
  <c r="AU241" i="25"/>
  <c r="AT249" i="25"/>
  <c r="AU249" i="25"/>
  <c r="AT283" i="25"/>
  <c r="AU283" i="25"/>
  <c r="AT316" i="25"/>
  <c r="AU316" i="25"/>
  <c r="AU243" i="25"/>
  <c r="AT243" i="25"/>
  <c r="AT232" i="25"/>
  <c r="AU232" i="25"/>
  <c r="AT274" i="25"/>
  <c r="AU274" i="25"/>
  <c r="AT256" i="25"/>
  <c r="AU256" i="25"/>
  <c r="AT254" i="25"/>
  <c r="AU254" i="25"/>
  <c r="AT272" i="25"/>
  <c r="AU272" i="25"/>
  <c r="AT222" i="25"/>
  <c r="AU222" i="25"/>
  <c r="AT273" i="25"/>
  <c r="AU273" i="25"/>
  <c r="AT218" i="25"/>
  <c r="AU218" i="25"/>
  <c r="AT240" i="25"/>
  <c r="AU240" i="25"/>
  <c r="AT261" i="25"/>
  <c r="AU261" i="25"/>
  <c r="AT255" i="25"/>
  <c r="AU255" i="25"/>
  <c r="AT237" i="25"/>
  <c r="AU237" i="25"/>
  <c r="AT286" i="25"/>
  <c r="AU286" i="25"/>
  <c r="AT257" i="25"/>
  <c r="AU257" i="25"/>
  <c r="AT228" i="25"/>
  <c r="AU228" i="25"/>
  <c r="AU267" i="25"/>
  <c r="AT267" i="25"/>
  <c r="AT230" i="25"/>
  <c r="AU230" i="25"/>
  <c r="AT231" i="25"/>
  <c r="AU231" i="25"/>
  <c r="AX5" i="25"/>
  <c r="AR5" i="25"/>
  <c r="BH5" i="25"/>
  <c r="BS5" i="25"/>
  <c r="AP5" i="25"/>
  <c r="BF5" i="25"/>
  <c r="BG5" i="25"/>
  <c r="B108" i="2"/>
  <c r="B98" i="2"/>
  <c r="AU65" i="25"/>
  <c r="AU98" i="25"/>
  <c r="AU43" i="25"/>
  <c r="AU55" i="25"/>
  <c r="AU57" i="25"/>
  <c r="AU73" i="25"/>
  <c r="AU85" i="25"/>
  <c r="AU95" i="25"/>
  <c r="AU32" i="25"/>
  <c r="AU66" i="25"/>
  <c r="AU84" i="25"/>
  <c r="AU99" i="25"/>
  <c r="AU18" i="25"/>
  <c r="AU60" i="25"/>
  <c r="AU90" i="25"/>
  <c r="AU33" i="25"/>
  <c r="AT35" i="25"/>
  <c r="AY35" i="25" s="1"/>
  <c r="AU35" i="25"/>
  <c r="AT105" i="25"/>
  <c r="AU105" i="25"/>
  <c r="AT41" i="25"/>
  <c r="AY41" i="25" s="1"/>
  <c r="AU41" i="25"/>
  <c r="AT15" i="25"/>
  <c r="AY15" i="25" s="1"/>
  <c r="AU15" i="25"/>
  <c r="AU25" i="25"/>
  <c r="AT92" i="25"/>
  <c r="AY92" i="25" s="1"/>
  <c r="AU92" i="25"/>
  <c r="AT104" i="25"/>
  <c r="AY104" i="25" s="1"/>
  <c r="AU104" i="25"/>
  <c r="AT52" i="25"/>
  <c r="AY52" i="25" s="1"/>
  <c r="AU52" i="25"/>
  <c r="AT96" i="25"/>
  <c r="AY96" i="25" s="1"/>
  <c r="AU96" i="25"/>
  <c r="AT94" i="25"/>
  <c r="AY94" i="25" s="1"/>
  <c r="AU94" i="25"/>
  <c r="AT31" i="25"/>
  <c r="AY31" i="25" s="1"/>
  <c r="AU31" i="25"/>
  <c r="AT24" i="25"/>
  <c r="AY24" i="25" s="1"/>
  <c r="AU24" i="25"/>
  <c r="AT13" i="25"/>
  <c r="AY13" i="25" s="1"/>
  <c r="AU13" i="25"/>
  <c r="AT68" i="25"/>
  <c r="AY68" i="25" s="1"/>
  <c r="AU68" i="25"/>
  <c r="AT91" i="25"/>
  <c r="AY91" i="25" s="1"/>
  <c r="AU91" i="25"/>
  <c r="AT93" i="25"/>
  <c r="AY93" i="25" s="1"/>
  <c r="AU93" i="25"/>
  <c r="AT30" i="25"/>
  <c r="AY30" i="25" s="1"/>
  <c r="AU30" i="25"/>
  <c r="AU16" i="25"/>
  <c r="AT71" i="25"/>
  <c r="AY71" i="25" s="1"/>
  <c r="AU71" i="25"/>
  <c r="AT61" i="25"/>
  <c r="AY61" i="25" s="1"/>
  <c r="AU61" i="25"/>
  <c r="AT54" i="25"/>
  <c r="AY54" i="25" s="1"/>
  <c r="AU54" i="25"/>
  <c r="AU10" i="25"/>
  <c r="AU23" i="25"/>
  <c r="AT79" i="25"/>
  <c r="AY79" i="25" s="1"/>
  <c r="AU79" i="25"/>
  <c r="AT40" i="25"/>
  <c r="AY40" i="25" s="1"/>
  <c r="AU40" i="25"/>
  <c r="AT27" i="25"/>
  <c r="AY27" i="25" s="1"/>
  <c r="AU27" i="25"/>
  <c r="AU77" i="25"/>
  <c r="AT53" i="25"/>
  <c r="AY53" i="25" s="1"/>
  <c r="AU53" i="25"/>
  <c r="AT51" i="25"/>
  <c r="AY51" i="25" s="1"/>
  <c r="AU51" i="25"/>
  <c r="AT63" i="25"/>
  <c r="AY63" i="25" s="1"/>
  <c r="AU63" i="25"/>
  <c r="AT67" i="25"/>
  <c r="AY67" i="25" s="1"/>
  <c r="AU67" i="25"/>
  <c r="AT47" i="25"/>
  <c r="AY47" i="25" s="1"/>
  <c r="AU47" i="25"/>
  <c r="AT22" i="25"/>
  <c r="AY22" i="25" s="1"/>
  <c r="AU22" i="25"/>
  <c r="AT17" i="25"/>
  <c r="AY17" i="25" s="1"/>
  <c r="AU17" i="25"/>
  <c r="AT78" i="25"/>
  <c r="AY78" i="25" s="1"/>
  <c r="AU78" i="25"/>
  <c r="AT20" i="25"/>
  <c r="AY20" i="25" s="1"/>
  <c r="AU20" i="25"/>
  <c r="AT9" i="25"/>
  <c r="AY9" i="25" s="1"/>
  <c r="AU9" i="25"/>
  <c r="AU39" i="25"/>
  <c r="AT76" i="25"/>
  <c r="AY76" i="25" s="1"/>
  <c r="AU76" i="25"/>
  <c r="AT48" i="25"/>
  <c r="AY48" i="25" s="1"/>
  <c r="AU48" i="25"/>
  <c r="AT59" i="25"/>
  <c r="AY59" i="25" s="1"/>
  <c r="AU59" i="25"/>
  <c r="AU46" i="25"/>
  <c r="AU89" i="25"/>
  <c r="AU19" i="25"/>
  <c r="AT101" i="25"/>
  <c r="AY101" i="25" s="1"/>
  <c r="AU101" i="25"/>
  <c r="AU50" i="25"/>
  <c r="AT69" i="25"/>
  <c r="AY69" i="25" s="1"/>
  <c r="AU69" i="25"/>
  <c r="AT37" i="25"/>
  <c r="AY37" i="25" s="1"/>
  <c r="AU37" i="25"/>
  <c r="AT38" i="25"/>
  <c r="AY38" i="25" s="1"/>
  <c r="AU38" i="25"/>
  <c r="AT49" i="25"/>
  <c r="AY49" i="25" s="1"/>
  <c r="AU49" i="25"/>
  <c r="AT11" i="25"/>
  <c r="AY11" i="25" s="1"/>
  <c r="AU11" i="25"/>
  <c r="AT6" i="25"/>
  <c r="AY6" i="25" s="1"/>
  <c r="AU6" i="25"/>
  <c r="AT36" i="25"/>
  <c r="AY36" i="25" s="1"/>
  <c r="AU36" i="25"/>
  <c r="AU7" i="25"/>
  <c r="AT97" i="25"/>
  <c r="AY97" i="25" s="1"/>
  <c r="AU97" i="25"/>
  <c r="AT28" i="25"/>
  <c r="AY28" i="25" s="1"/>
  <c r="AU28" i="25"/>
  <c r="AT100" i="25"/>
  <c r="AY100" i="25" s="1"/>
  <c r="AU100" i="25"/>
  <c r="AT44" i="25"/>
  <c r="AY44" i="25" s="1"/>
  <c r="AU44" i="25"/>
  <c r="AT26" i="25"/>
  <c r="AY26" i="25" s="1"/>
  <c r="AU26" i="25"/>
  <c r="AT103" i="25"/>
  <c r="AY103" i="25" s="1"/>
  <c r="AU103" i="25"/>
  <c r="AT64" i="25"/>
  <c r="AY64" i="25" s="1"/>
  <c r="AU64" i="25"/>
  <c r="AT62" i="25"/>
  <c r="AY62" i="25" s="1"/>
  <c r="AU62" i="25"/>
  <c r="AT12" i="25"/>
  <c r="AY12" i="25" s="1"/>
  <c r="AU12" i="25"/>
  <c r="AU75" i="25"/>
  <c r="AT42" i="25"/>
  <c r="AY42" i="25" s="1"/>
  <c r="AU42" i="25"/>
  <c r="AT87" i="25"/>
  <c r="AY87" i="25" s="1"/>
  <c r="AU87" i="25"/>
  <c r="AU45" i="25"/>
  <c r="AU80" i="25"/>
  <c r="AT86" i="25"/>
  <c r="AY86" i="25" s="1"/>
  <c r="AU86" i="25"/>
  <c r="AT14" i="25"/>
  <c r="AY14" i="25" s="1"/>
  <c r="AU14" i="25"/>
  <c r="AT56" i="25"/>
  <c r="AY56" i="25" s="1"/>
  <c r="AU56" i="25"/>
  <c r="AT83" i="25"/>
  <c r="AY83" i="25" s="1"/>
  <c r="AU83" i="25"/>
  <c r="AT21" i="25"/>
  <c r="AY21" i="25" s="1"/>
  <c r="AU21" i="25"/>
  <c r="AU74" i="25"/>
  <c r="AT88" i="25"/>
  <c r="AY88" i="25" s="1"/>
  <c r="AU88" i="25"/>
  <c r="AT82" i="25"/>
  <c r="AY82" i="25" s="1"/>
  <c r="AU82" i="25"/>
  <c r="AT29" i="25"/>
  <c r="AY29" i="25" s="1"/>
  <c r="AU29" i="25"/>
  <c r="AU34" i="25"/>
  <c r="AT102" i="25"/>
  <c r="AY102" i="25" s="1"/>
  <c r="AU102" i="25"/>
  <c r="AT81" i="25"/>
  <c r="AY81" i="25" s="1"/>
  <c r="AU81" i="25"/>
  <c r="AT70" i="25"/>
  <c r="AY70" i="25" s="1"/>
  <c r="AU70" i="25"/>
  <c r="AU72" i="25"/>
  <c r="AT8" i="25"/>
  <c r="AY8" i="25" s="1"/>
  <c r="AU8" i="25"/>
  <c r="AW40" i="24"/>
  <c r="AY40" i="24" s="1"/>
  <c r="AZ40" i="24" s="1"/>
  <c r="AU32" i="24"/>
  <c r="BB32" i="24" s="1"/>
  <c r="AU53" i="24"/>
  <c r="BB53" i="24" s="1"/>
  <c r="BD53" i="24"/>
  <c r="BG53" i="24" s="1"/>
  <c r="BE53" i="24"/>
  <c r="BR53" i="24" s="1"/>
  <c r="BD32" i="24"/>
  <c r="BG32" i="24" s="1"/>
  <c r="BE32" i="24"/>
  <c r="BR32" i="24" s="1"/>
  <c r="AU18" i="24"/>
  <c r="BB18" i="24" s="1"/>
  <c r="AW18" i="24"/>
  <c r="AY18" i="24" s="1"/>
  <c r="AZ18" i="24" s="1"/>
  <c r="AW29" i="24"/>
  <c r="AY29" i="24" s="1"/>
  <c r="AZ29" i="24" s="1"/>
  <c r="AU29" i="24"/>
  <c r="BB29" i="24" s="1"/>
  <c r="AW82" i="24"/>
  <c r="AY82" i="24" s="1"/>
  <c r="AZ82" i="24" s="1"/>
  <c r="AU82" i="24"/>
  <c r="BB82" i="24" s="1"/>
  <c r="AW54" i="24"/>
  <c r="AY54" i="24" s="1"/>
  <c r="AZ54" i="24" s="1"/>
  <c r="AU54" i="24"/>
  <c r="BB54" i="24" s="1"/>
  <c r="AW19" i="24"/>
  <c r="AY19" i="24" s="1"/>
  <c r="AZ19" i="24" s="1"/>
  <c r="AU19" i="24"/>
  <c r="BB19" i="24" s="1"/>
  <c r="AW89" i="24"/>
  <c r="AY89" i="24" s="1"/>
  <c r="AZ89" i="24" s="1"/>
  <c r="AU89" i="24"/>
  <c r="BB89" i="24" s="1"/>
  <c r="AW59" i="24"/>
  <c r="AY59" i="24" s="1"/>
  <c r="AZ59" i="24" s="1"/>
  <c r="AU59" i="24"/>
  <c r="BB59" i="24" s="1"/>
  <c r="AW42" i="24"/>
  <c r="AY42" i="24" s="1"/>
  <c r="AZ42" i="24" s="1"/>
  <c r="AU42" i="24"/>
  <c r="BB42" i="24" s="1"/>
  <c r="AW36" i="24"/>
  <c r="AY36" i="24" s="1"/>
  <c r="AZ36" i="24" s="1"/>
  <c r="AU36" i="24"/>
  <c r="BB36" i="24" s="1"/>
  <c r="AW63" i="24"/>
  <c r="AY63" i="24" s="1"/>
  <c r="AZ63" i="24" s="1"/>
  <c r="AU63" i="24"/>
  <c r="BB63" i="24" s="1"/>
  <c r="AW56" i="24"/>
  <c r="AY56" i="24" s="1"/>
  <c r="AZ56" i="24" s="1"/>
  <c r="AU56" i="24"/>
  <c r="BB56" i="24" s="1"/>
  <c r="AW74" i="24"/>
  <c r="AY74" i="24" s="1"/>
  <c r="AZ74" i="24" s="1"/>
  <c r="AU74" i="24"/>
  <c r="BB74" i="24" s="1"/>
  <c r="AW72" i="24"/>
  <c r="AY72" i="24" s="1"/>
  <c r="AZ72" i="24" s="1"/>
  <c r="AU72" i="24"/>
  <c r="BB72" i="24" s="1"/>
  <c r="AW92" i="24"/>
  <c r="AY92" i="24" s="1"/>
  <c r="AZ92" i="24" s="1"/>
  <c r="AU92" i="24"/>
  <c r="BB92" i="24" s="1"/>
  <c r="AW79" i="24"/>
  <c r="AY79" i="24" s="1"/>
  <c r="AZ79" i="24" s="1"/>
  <c r="AU79" i="24"/>
  <c r="BB79" i="24" s="1"/>
  <c r="AW28" i="24"/>
  <c r="AY28" i="24" s="1"/>
  <c r="AZ28" i="24" s="1"/>
  <c r="AU28" i="24"/>
  <c r="BB28" i="24" s="1"/>
  <c r="AW96" i="24"/>
  <c r="AY96" i="24" s="1"/>
  <c r="AZ96" i="24" s="1"/>
  <c r="AU96" i="24"/>
  <c r="BB96" i="24" s="1"/>
  <c r="AW83" i="24"/>
  <c r="AY83" i="24" s="1"/>
  <c r="AZ83" i="24" s="1"/>
  <c r="AU83" i="24"/>
  <c r="BB83" i="24" s="1"/>
  <c r="AW68" i="24"/>
  <c r="AY68" i="24" s="1"/>
  <c r="AZ68" i="24" s="1"/>
  <c r="AU68" i="24"/>
  <c r="BB68" i="24" s="1"/>
  <c r="AW31" i="24"/>
  <c r="AY31" i="24" s="1"/>
  <c r="AZ31" i="24" s="1"/>
  <c r="AU31" i="24"/>
  <c r="BB31" i="24" s="1"/>
  <c r="AW46" i="24"/>
  <c r="AY46" i="24" s="1"/>
  <c r="AZ46" i="24" s="1"/>
  <c r="AU46" i="24"/>
  <c r="BB46" i="24" s="1"/>
  <c r="AW21" i="24"/>
  <c r="AY21" i="24" s="1"/>
  <c r="AZ21" i="24" s="1"/>
  <c r="AU21" i="24"/>
  <c r="BB21" i="24" s="1"/>
  <c r="AW85" i="24"/>
  <c r="AY85" i="24" s="1"/>
  <c r="AZ85" i="24" s="1"/>
  <c r="AU85" i="24"/>
  <c r="BB85" i="24" s="1"/>
  <c r="AW100" i="24"/>
  <c r="AY100" i="24" s="1"/>
  <c r="AZ100" i="24" s="1"/>
  <c r="AU100" i="24"/>
  <c r="BB100" i="24" s="1"/>
  <c r="BV106" i="19"/>
  <c r="CB106" i="19" s="1"/>
  <c r="BW106" i="19"/>
  <c r="CC106" i="19" s="1"/>
  <c r="AZ25" i="24" l="1"/>
  <c r="AW133" i="24"/>
  <c r="BE133" i="24" s="1"/>
  <c r="BR133" i="24" s="1"/>
  <c r="AZ50" i="24"/>
  <c r="AW166" i="24"/>
  <c r="BA179" i="25"/>
  <c r="BB179" i="25"/>
  <c r="BQ179" i="25" s="1"/>
  <c r="BC179" i="25"/>
  <c r="BR179" i="25" s="1"/>
  <c r="BA147" i="25"/>
  <c r="BC147" i="25"/>
  <c r="BR147" i="25" s="1"/>
  <c r="BB147" i="25"/>
  <c r="BQ147" i="25" s="1"/>
  <c r="BC166" i="25"/>
  <c r="BR166" i="25" s="1"/>
  <c r="BB166" i="25"/>
  <c r="BQ166" i="25" s="1"/>
  <c r="BA166" i="25"/>
  <c r="BB124" i="25"/>
  <c r="BQ124" i="25" s="1"/>
  <c r="BA124" i="25"/>
  <c r="BC124" i="25"/>
  <c r="BR124" i="25" s="1"/>
  <c r="BB140" i="25"/>
  <c r="BQ140" i="25" s="1"/>
  <c r="BC140" i="25"/>
  <c r="BR140" i="25" s="1"/>
  <c r="BA140" i="25"/>
  <c r="BA200" i="25"/>
  <c r="BC200" i="25"/>
  <c r="BR200" i="25" s="1"/>
  <c r="BB200" i="25"/>
  <c r="BQ200" i="25" s="1"/>
  <c r="BB129" i="25"/>
  <c r="BQ129" i="25" s="1"/>
  <c r="BA129" i="25"/>
  <c r="BC129" i="25"/>
  <c r="BR129" i="25" s="1"/>
  <c r="BB182" i="25"/>
  <c r="BQ182" i="25" s="1"/>
  <c r="BC182" i="25"/>
  <c r="BR182" i="25" s="1"/>
  <c r="BA182" i="25"/>
  <c r="BB176" i="25"/>
  <c r="BQ176" i="25" s="1"/>
  <c r="BC176" i="25"/>
  <c r="BR176" i="25" s="1"/>
  <c r="BA176" i="25"/>
  <c r="BC149" i="25"/>
  <c r="BR149" i="25" s="1"/>
  <c r="BB149" i="25"/>
  <c r="BQ149" i="25" s="1"/>
  <c r="BA149" i="25"/>
  <c r="BB185" i="25"/>
  <c r="BQ185" i="25" s="1"/>
  <c r="BC185" i="25"/>
  <c r="BR185" i="25" s="1"/>
  <c r="BA185" i="25"/>
  <c r="BC128" i="25"/>
  <c r="BR128" i="25" s="1"/>
  <c r="BB128" i="25"/>
  <c r="BQ128" i="25" s="1"/>
  <c r="BA128" i="25"/>
  <c r="BC116" i="25"/>
  <c r="BR116" i="25" s="1"/>
  <c r="BA116" i="25"/>
  <c r="BB116" i="25"/>
  <c r="BQ116" i="25" s="1"/>
  <c r="BC184" i="25"/>
  <c r="BR184" i="25" s="1"/>
  <c r="BA184" i="25"/>
  <c r="BB184" i="25"/>
  <c r="BQ184" i="25" s="1"/>
  <c r="BA172" i="25"/>
  <c r="BB172" i="25"/>
  <c r="BQ172" i="25" s="1"/>
  <c r="BC172" i="25"/>
  <c r="BR172" i="25" s="1"/>
  <c r="BC151" i="25"/>
  <c r="BR151" i="25" s="1"/>
  <c r="BB151" i="25"/>
  <c r="BQ151" i="25" s="1"/>
  <c r="BA151" i="25"/>
  <c r="BB125" i="25"/>
  <c r="BQ125" i="25" s="1"/>
  <c r="BA125" i="25"/>
  <c r="BC125" i="25"/>
  <c r="BR125" i="25" s="1"/>
  <c r="BA208" i="25"/>
  <c r="BB208" i="25"/>
  <c r="BQ208" i="25" s="1"/>
  <c r="BC208" i="25"/>
  <c r="BR208" i="25" s="1"/>
  <c r="BB141" i="25"/>
  <c r="BQ141" i="25" s="1"/>
  <c r="BC141" i="25"/>
  <c r="BR141" i="25" s="1"/>
  <c r="BA141" i="25"/>
  <c r="BB134" i="25"/>
  <c r="BQ134" i="25" s="1"/>
  <c r="BC134" i="25"/>
  <c r="BR134" i="25" s="1"/>
  <c r="BA134" i="25"/>
  <c r="BC162" i="25"/>
  <c r="BR162" i="25" s="1"/>
  <c r="BA162" i="25"/>
  <c r="BB162" i="25"/>
  <c r="BQ162" i="25" s="1"/>
  <c r="BA130" i="25"/>
  <c r="BB130" i="25"/>
  <c r="BQ130" i="25" s="1"/>
  <c r="BC130" i="25"/>
  <c r="BR130" i="25" s="1"/>
  <c r="BC173" i="25"/>
  <c r="BR173" i="25" s="1"/>
  <c r="BA173" i="25"/>
  <c r="BB173" i="25"/>
  <c r="BQ173" i="25" s="1"/>
  <c r="BA143" i="25"/>
  <c r="BB143" i="25"/>
  <c r="BQ143" i="25" s="1"/>
  <c r="BC143" i="25"/>
  <c r="BR143" i="25" s="1"/>
  <c r="BB187" i="25"/>
  <c r="BQ187" i="25" s="1"/>
  <c r="BC187" i="25"/>
  <c r="BR187" i="25" s="1"/>
  <c r="BA187" i="25"/>
  <c r="BC127" i="25"/>
  <c r="BR127" i="25" s="1"/>
  <c r="BB127" i="25"/>
  <c r="BQ127" i="25" s="1"/>
  <c r="BA127" i="25"/>
  <c r="BA135" i="25"/>
  <c r="BB135" i="25"/>
  <c r="BQ135" i="25" s="1"/>
  <c r="BC135" i="25"/>
  <c r="BR135" i="25" s="1"/>
  <c r="BB167" i="25"/>
  <c r="BQ167" i="25" s="1"/>
  <c r="BA167" i="25"/>
  <c r="BC167" i="25"/>
  <c r="BR167" i="25" s="1"/>
  <c r="BC123" i="25"/>
  <c r="BR123" i="25" s="1"/>
  <c r="BA123" i="25"/>
  <c r="BB123" i="25"/>
  <c r="BQ123" i="25" s="1"/>
  <c r="BA207" i="25"/>
  <c r="BC207" i="25"/>
  <c r="BR207" i="25" s="1"/>
  <c r="BB207" i="25"/>
  <c r="BQ207" i="25" s="1"/>
  <c r="BA203" i="25"/>
  <c r="BC203" i="25"/>
  <c r="BR203" i="25" s="1"/>
  <c r="BB203" i="25"/>
  <c r="BQ203" i="25" s="1"/>
  <c r="BC169" i="25"/>
  <c r="BR169" i="25" s="1"/>
  <c r="BA169" i="25"/>
  <c r="BB169" i="25"/>
  <c r="BQ169" i="25" s="1"/>
  <c r="BA142" i="25"/>
  <c r="BC142" i="25"/>
  <c r="BR142" i="25" s="1"/>
  <c r="BB142" i="25"/>
  <c r="BQ142" i="25" s="1"/>
  <c r="BA168" i="25"/>
  <c r="BC168" i="25"/>
  <c r="BR168" i="25" s="1"/>
  <c r="BB168" i="25"/>
  <c r="BQ168" i="25" s="1"/>
  <c r="BA177" i="25"/>
  <c r="BB177" i="25"/>
  <c r="BQ177" i="25" s="1"/>
  <c r="BC177" i="25"/>
  <c r="BR177" i="25" s="1"/>
  <c r="BB158" i="25"/>
  <c r="BQ158" i="25" s="1"/>
  <c r="BA158" i="25"/>
  <c r="BC158" i="25"/>
  <c r="BR158" i="25" s="1"/>
  <c r="BB164" i="25"/>
  <c r="BQ164" i="25" s="1"/>
  <c r="BA164" i="25"/>
  <c r="BC164" i="25"/>
  <c r="BR164" i="25" s="1"/>
  <c r="BA183" i="25"/>
  <c r="BB183" i="25"/>
  <c r="BQ183" i="25" s="1"/>
  <c r="BC183" i="25"/>
  <c r="BR183" i="25" s="1"/>
  <c r="BB145" i="25"/>
  <c r="BQ145" i="25" s="1"/>
  <c r="BC145" i="25"/>
  <c r="BR145" i="25" s="1"/>
  <c r="BA145" i="25"/>
  <c r="BB113" i="25"/>
  <c r="BQ113" i="25" s="1"/>
  <c r="BA113" i="25"/>
  <c r="BC113" i="25"/>
  <c r="BR113" i="25" s="1"/>
  <c r="BC156" i="25"/>
  <c r="BR156" i="25" s="1"/>
  <c r="BA156" i="25"/>
  <c r="BB156" i="25"/>
  <c r="BQ156" i="25" s="1"/>
  <c r="BB197" i="25"/>
  <c r="BQ197" i="25" s="1"/>
  <c r="BC197" i="25"/>
  <c r="BR197" i="25" s="1"/>
  <c r="BA197" i="25"/>
  <c r="BA119" i="25"/>
  <c r="BC119" i="25"/>
  <c r="BR119" i="25" s="1"/>
  <c r="BB119" i="25"/>
  <c r="BQ119" i="25" s="1"/>
  <c r="BB163" i="25"/>
  <c r="BQ163" i="25" s="1"/>
  <c r="BA163" i="25"/>
  <c r="BC163" i="25"/>
  <c r="BR163" i="25" s="1"/>
  <c r="BB150" i="25"/>
  <c r="BQ150" i="25" s="1"/>
  <c r="BC150" i="25"/>
  <c r="BR150" i="25" s="1"/>
  <c r="BA150" i="25"/>
  <c r="BC186" i="25"/>
  <c r="BR186" i="25" s="1"/>
  <c r="BB186" i="25"/>
  <c r="BQ186" i="25" s="1"/>
  <c r="BA186" i="25"/>
  <c r="BA206" i="25"/>
  <c r="BB206" i="25"/>
  <c r="BQ206" i="25" s="1"/>
  <c r="BC206" i="25"/>
  <c r="BR206" i="25" s="1"/>
  <c r="BA202" i="25"/>
  <c r="BB202" i="25"/>
  <c r="BQ202" i="25" s="1"/>
  <c r="BC202" i="25"/>
  <c r="BR202" i="25" s="1"/>
  <c r="BC111" i="25"/>
  <c r="BR111" i="25" s="1"/>
  <c r="BB111" i="25"/>
  <c r="BQ111" i="25" s="1"/>
  <c r="BA111" i="25"/>
  <c r="BC201" i="25"/>
  <c r="BR201" i="25" s="1"/>
  <c r="BA201" i="25"/>
  <c r="BB201" i="25"/>
  <c r="BQ201" i="25" s="1"/>
  <c r="BB180" i="25"/>
  <c r="BQ180" i="25" s="1"/>
  <c r="BC180" i="25"/>
  <c r="BR180" i="25" s="1"/>
  <c r="BA180" i="25"/>
  <c r="BA199" i="25"/>
  <c r="BB199" i="25"/>
  <c r="BQ199" i="25" s="1"/>
  <c r="BC199" i="25"/>
  <c r="BR199" i="25" s="1"/>
  <c r="BC209" i="25"/>
  <c r="BR209" i="25" s="1"/>
  <c r="BB209" i="25"/>
  <c r="BQ209" i="25" s="1"/>
  <c r="BA209" i="25"/>
  <c r="BC171" i="25"/>
  <c r="BR171" i="25" s="1"/>
  <c r="BA171" i="25"/>
  <c r="BB171" i="25"/>
  <c r="BQ171" i="25" s="1"/>
  <c r="BA120" i="25"/>
  <c r="BB120" i="25"/>
  <c r="BQ120" i="25" s="1"/>
  <c r="BC120" i="25"/>
  <c r="BR120" i="25" s="1"/>
  <c r="BA170" i="25"/>
  <c r="BB170" i="25"/>
  <c r="BQ170" i="25" s="1"/>
  <c r="BC170" i="25"/>
  <c r="BR170" i="25" s="1"/>
  <c r="BA204" i="25"/>
  <c r="BB204" i="25"/>
  <c r="BQ204" i="25" s="1"/>
  <c r="BC204" i="25"/>
  <c r="BR204" i="25" s="1"/>
  <c r="BA192" i="25"/>
  <c r="BB192" i="25"/>
  <c r="BQ192" i="25" s="1"/>
  <c r="BC192" i="25"/>
  <c r="BR192" i="25" s="1"/>
  <c r="BB161" i="25"/>
  <c r="BQ161" i="25" s="1"/>
  <c r="BA161" i="25"/>
  <c r="BC161" i="25"/>
  <c r="BR161" i="25" s="1"/>
  <c r="BC114" i="25"/>
  <c r="BR114" i="25" s="1"/>
  <c r="BA114" i="25"/>
  <c r="BB114" i="25"/>
  <c r="BQ114" i="25" s="1"/>
  <c r="BC139" i="25"/>
  <c r="BR139" i="25" s="1"/>
  <c r="BB139" i="25"/>
  <c r="BQ139" i="25" s="1"/>
  <c r="BA139" i="25"/>
  <c r="BA152" i="25"/>
  <c r="BB152" i="25"/>
  <c r="BQ152" i="25" s="1"/>
  <c r="BC152" i="25"/>
  <c r="BR152" i="25" s="1"/>
  <c r="BA159" i="25"/>
  <c r="BB159" i="25"/>
  <c r="BQ159" i="25" s="1"/>
  <c r="BC159" i="25"/>
  <c r="BR159" i="25" s="1"/>
  <c r="BA198" i="25"/>
  <c r="BB198" i="25"/>
  <c r="BQ198" i="25" s="1"/>
  <c r="BC198" i="25"/>
  <c r="BR198" i="25" s="1"/>
  <c r="BA174" i="25"/>
  <c r="BC174" i="25"/>
  <c r="BR174" i="25" s="1"/>
  <c r="BB174" i="25"/>
  <c r="BQ174" i="25" s="1"/>
  <c r="BC196" i="25"/>
  <c r="BR196" i="25" s="1"/>
  <c r="BB196" i="25"/>
  <c r="BQ196" i="25" s="1"/>
  <c r="BA196" i="25"/>
  <c r="BB195" i="25"/>
  <c r="BQ195" i="25" s="1"/>
  <c r="BC195" i="25"/>
  <c r="BR195" i="25" s="1"/>
  <c r="BA195" i="25"/>
  <c r="BC126" i="25"/>
  <c r="BR126" i="25" s="1"/>
  <c r="BB126" i="25"/>
  <c r="BQ126" i="25" s="1"/>
  <c r="BA126" i="25"/>
  <c r="BA188" i="25"/>
  <c r="BB188" i="25"/>
  <c r="BQ188" i="25" s="1"/>
  <c r="BC188" i="25"/>
  <c r="BR188" i="25" s="1"/>
  <c r="BA133" i="25"/>
  <c r="BB133" i="25"/>
  <c r="BQ133" i="25" s="1"/>
  <c r="BC133" i="25"/>
  <c r="BR133" i="25" s="1"/>
  <c r="BA118" i="25"/>
  <c r="BC118" i="25"/>
  <c r="BR118" i="25" s="1"/>
  <c r="BB118" i="25"/>
  <c r="BQ118" i="25" s="1"/>
  <c r="BB153" i="25"/>
  <c r="BQ153" i="25" s="1"/>
  <c r="BC153" i="25"/>
  <c r="BR153" i="25" s="1"/>
  <c r="BA153" i="25"/>
  <c r="BA190" i="25"/>
  <c r="BC190" i="25"/>
  <c r="BR190" i="25" s="1"/>
  <c r="BB190" i="25"/>
  <c r="BQ190" i="25" s="1"/>
  <c r="BC154" i="25"/>
  <c r="BR154" i="25" s="1"/>
  <c r="BA154" i="25"/>
  <c r="BB154" i="25"/>
  <c r="BQ154" i="25" s="1"/>
  <c r="BA146" i="25"/>
  <c r="BC146" i="25"/>
  <c r="BR146" i="25" s="1"/>
  <c r="BB146" i="25"/>
  <c r="BQ146" i="25" s="1"/>
  <c r="BC117" i="25"/>
  <c r="BR117" i="25" s="1"/>
  <c r="BB117" i="25"/>
  <c r="BQ117" i="25" s="1"/>
  <c r="BA117" i="25"/>
  <c r="BA157" i="25"/>
  <c r="BC157" i="25"/>
  <c r="BR157" i="25" s="1"/>
  <c r="BB157" i="25"/>
  <c r="BQ157" i="25" s="1"/>
  <c r="BA193" i="25"/>
  <c r="BB193" i="25"/>
  <c r="BQ193" i="25" s="1"/>
  <c r="BC193" i="25"/>
  <c r="BR193" i="25" s="1"/>
  <c r="BA137" i="25"/>
  <c r="BC137" i="25"/>
  <c r="BR137" i="25" s="1"/>
  <c r="BB137" i="25"/>
  <c r="BQ137" i="25" s="1"/>
  <c r="BC165" i="25"/>
  <c r="BR165" i="25" s="1"/>
  <c r="BB165" i="25"/>
  <c r="BQ165" i="25" s="1"/>
  <c r="BA165" i="25"/>
  <c r="BA155" i="25"/>
  <c r="BC155" i="25"/>
  <c r="BR155" i="25" s="1"/>
  <c r="BB155" i="25"/>
  <c r="BQ155" i="25" s="1"/>
  <c r="BA132" i="25"/>
  <c r="BC132" i="25"/>
  <c r="BR132" i="25" s="1"/>
  <c r="BB132" i="25"/>
  <c r="BQ132" i="25" s="1"/>
  <c r="BA131" i="25"/>
  <c r="BB131" i="25"/>
  <c r="BQ131" i="25" s="1"/>
  <c r="BC131" i="25"/>
  <c r="BR131" i="25" s="1"/>
  <c r="BC138" i="25"/>
  <c r="BR138" i="25" s="1"/>
  <c r="BB138" i="25"/>
  <c r="BQ138" i="25" s="1"/>
  <c r="BA138" i="25"/>
  <c r="BC189" i="25"/>
  <c r="BR189" i="25" s="1"/>
  <c r="BA189" i="25"/>
  <c r="BB189" i="25"/>
  <c r="BQ189" i="25" s="1"/>
  <c r="BA181" i="25"/>
  <c r="BB181" i="25"/>
  <c r="BQ181" i="25" s="1"/>
  <c r="BC181" i="25"/>
  <c r="BR181" i="25" s="1"/>
  <c r="BC144" i="25"/>
  <c r="BR144" i="25" s="1"/>
  <c r="BA144" i="25"/>
  <c r="BB144" i="25"/>
  <c r="BQ144" i="25" s="1"/>
  <c r="BA205" i="25"/>
  <c r="BB205" i="25"/>
  <c r="BQ205" i="25" s="1"/>
  <c r="BC205" i="25"/>
  <c r="BR205" i="25" s="1"/>
  <c r="BA160" i="25"/>
  <c r="BB160" i="25"/>
  <c r="BQ160" i="25" s="1"/>
  <c r="BC160" i="25"/>
  <c r="BR160" i="25" s="1"/>
  <c r="BC112" i="25"/>
  <c r="BR112" i="25" s="1"/>
  <c r="BB112" i="25"/>
  <c r="BQ112" i="25" s="1"/>
  <c r="BA112" i="25"/>
  <c r="BA178" i="25"/>
  <c r="BB178" i="25"/>
  <c r="BQ178" i="25" s="1"/>
  <c r="BC178" i="25"/>
  <c r="BR178" i="25" s="1"/>
  <c r="BC115" i="25"/>
  <c r="BR115" i="25" s="1"/>
  <c r="BA115" i="25"/>
  <c r="BB115" i="25"/>
  <c r="BQ115" i="25" s="1"/>
  <c r="BC122" i="25"/>
  <c r="BR122" i="25" s="1"/>
  <c r="BA122" i="25"/>
  <c r="BB122" i="25"/>
  <c r="BQ122" i="25" s="1"/>
  <c r="BC194" i="25"/>
  <c r="BR194" i="25" s="1"/>
  <c r="BA194" i="25"/>
  <c r="BB194" i="25"/>
  <c r="BQ194" i="25" s="1"/>
  <c r="BA121" i="25"/>
  <c r="BB121" i="25"/>
  <c r="BQ121" i="25" s="1"/>
  <c r="BC121" i="25"/>
  <c r="BR121" i="25" s="1"/>
  <c r="BB136" i="25"/>
  <c r="BQ136" i="25" s="1"/>
  <c r="BA136" i="25"/>
  <c r="BC136" i="25"/>
  <c r="BR136" i="25" s="1"/>
  <c r="BC148" i="25"/>
  <c r="BR148" i="25" s="1"/>
  <c r="BB148" i="25"/>
  <c r="BQ148" i="25" s="1"/>
  <c r="BA148" i="25"/>
  <c r="BB175" i="25"/>
  <c r="BQ175" i="25" s="1"/>
  <c r="BC175" i="25"/>
  <c r="BR175" i="25" s="1"/>
  <c r="BA175" i="25"/>
  <c r="BC191" i="25"/>
  <c r="BR191" i="25" s="1"/>
  <c r="BA191" i="25"/>
  <c r="BB191" i="25"/>
  <c r="BQ191" i="25" s="1"/>
  <c r="BA210" i="25"/>
  <c r="BC210" i="25"/>
  <c r="BR210" i="25" s="1"/>
  <c r="BB210" i="25"/>
  <c r="BQ210" i="25" s="1"/>
  <c r="AU122" i="24"/>
  <c r="AW167" i="24"/>
  <c r="BE167" i="24" s="1"/>
  <c r="BR167" i="24" s="1"/>
  <c r="AW115" i="24"/>
  <c r="BE115" i="24" s="1"/>
  <c r="BR115" i="24" s="1"/>
  <c r="AW165" i="24"/>
  <c r="BE165" i="24" s="1"/>
  <c r="BR165" i="24" s="1"/>
  <c r="BE120" i="24"/>
  <c r="BR120" i="24" s="1"/>
  <c r="BD120" i="24"/>
  <c r="AY120" i="24"/>
  <c r="AZ120" i="24" s="1"/>
  <c r="BE145" i="24"/>
  <c r="BR145" i="24" s="1"/>
  <c r="AY145" i="24"/>
  <c r="AZ145" i="24" s="1"/>
  <c r="BD145" i="24"/>
  <c r="BD154" i="24"/>
  <c r="BE154" i="24"/>
  <c r="BR154" i="24" s="1"/>
  <c r="AY154" i="24"/>
  <c r="AZ154" i="24" s="1"/>
  <c r="BD122" i="24"/>
  <c r="BE122" i="24"/>
  <c r="BR122" i="24" s="1"/>
  <c r="AY122" i="24"/>
  <c r="AZ122" i="24" s="1"/>
  <c r="BD116" i="24"/>
  <c r="AY116" i="24"/>
  <c r="AZ116" i="24" s="1"/>
  <c r="BE116" i="24"/>
  <c r="BR116" i="24" s="1"/>
  <c r="BD133" i="24"/>
  <c r="AY133" i="24"/>
  <c r="AZ133" i="24" s="1"/>
  <c r="BD139" i="24"/>
  <c r="BE139" i="24"/>
  <c r="BR139" i="24" s="1"/>
  <c r="AY139" i="24"/>
  <c r="AZ139" i="24" s="1"/>
  <c r="BE175" i="24"/>
  <c r="BR175" i="24" s="1"/>
  <c r="AY175" i="24"/>
  <c r="AZ175" i="24" s="1"/>
  <c r="BD175" i="24"/>
  <c r="BE200" i="24"/>
  <c r="BR200" i="24" s="1"/>
  <c r="BD200" i="24"/>
  <c r="AY200" i="24"/>
  <c r="AZ200" i="24" s="1"/>
  <c r="BD183" i="24"/>
  <c r="AY183" i="24"/>
  <c r="AZ183" i="24" s="1"/>
  <c r="BE183" i="24"/>
  <c r="BR183" i="24" s="1"/>
  <c r="BD118" i="24"/>
  <c r="AY118" i="24"/>
  <c r="AZ118" i="24" s="1"/>
  <c r="BE118" i="24"/>
  <c r="BR118" i="24" s="1"/>
  <c r="AY124" i="24"/>
  <c r="AZ124" i="24" s="1"/>
  <c r="BE124" i="24"/>
  <c r="BR124" i="24" s="1"/>
  <c r="BD124" i="24"/>
  <c r="AY158" i="24"/>
  <c r="AZ158" i="24" s="1"/>
  <c r="BD158" i="24"/>
  <c r="BE158" i="24"/>
  <c r="BR158" i="24" s="1"/>
  <c r="BE151" i="24"/>
  <c r="BR151" i="24" s="1"/>
  <c r="AY151" i="24"/>
  <c r="AZ151" i="24" s="1"/>
  <c r="BD151" i="24"/>
  <c r="AY185" i="24"/>
  <c r="AZ185" i="24" s="1"/>
  <c r="BE185" i="24"/>
  <c r="BR185" i="24" s="1"/>
  <c r="BD185" i="24"/>
  <c r="BD131" i="24"/>
  <c r="AY131" i="24"/>
  <c r="AZ131" i="24" s="1"/>
  <c r="BE131" i="24"/>
  <c r="BR131" i="24" s="1"/>
  <c r="BD205" i="24"/>
  <c r="BE205" i="24"/>
  <c r="BR205" i="24" s="1"/>
  <c r="AY205" i="24"/>
  <c r="AZ205" i="24" s="1"/>
  <c r="BD204" i="24"/>
  <c r="BE204" i="24"/>
  <c r="BR204" i="24" s="1"/>
  <c r="AY204" i="24"/>
  <c r="AZ204" i="24" s="1"/>
  <c r="BE132" i="24"/>
  <c r="BR132" i="24" s="1"/>
  <c r="BD132" i="24"/>
  <c r="AY132" i="24"/>
  <c r="AZ132" i="24" s="1"/>
  <c r="BE135" i="24"/>
  <c r="BR135" i="24" s="1"/>
  <c r="BD135" i="24"/>
  <c r="AY135" i="24"/>
  <c r="AZ135" i="24" s="1"/>
  <c r="BD207" i="24"/>
  <c r="BE207" i="24"/>
  <c r="BR207" i="24" s="1"/>
  <c r="AY207" i="24"/>
  <c r="AZ207" i="24" s="1"/>
  <c r="BD163" i="24"/>
  <c r="AY163" i="24"/>
  <c r="AZ163" i="24" s="1"/>
  <c r="BE163" i="24"/>
  <c r="BR163" i="24" s="1"/>
  <c r="BD184" i="24"/>
  <c r="AY184" i="24"/>
  <c r="AZ184" i="24" s="1"/>
  <c r="BE184" i="24"/>
  <c r="BR184" i="24" s="1"/>
  <c r="BD162" i="24"/>
  <c r="BE162" i="24"/>
  <c r="BR162" i="24" s="1"/>
  <c r="AY162" i="24"/>
  <c r="AZ162" i="24" s="1"/>
  <c r="BD117" i="24"/>
  <c r="AY117" i="24"/>
  <c r="AZ117" i="24" s="1"/>
  <c r="BE117" i="24"/>
  <c r="BR117" i="24" s="1"/>
  <c r="BD128" i="24"/>
  <c r="AY128" i="24"/>
  <c r="AZ128" i="24" s="1"/>
  <c r="BE128" i="24"/>
  <c r="BR128" i="24" s="1"/>
  <c r="BE164" i="24"/>
  <c r="BR164" i="24" s="1"/>
  <c r="BD164" i="24"/>
  <c r="AY164" i="24"/>
  <c r="AZ164" i="24" s="1"/>
  <c r="AY179" i="24"/>
  <c r="AZ179" i="24" s="1"/>
  <c r="BD179" i="24"/>
  <c r="BE179" i="24"/>
  <c r="BR179" i="24" s="1"/>
  <c r="BD138" i="24"/>
  <c r="BE138" i="24"/>
  <c r="BR138" i="24" s="1"/>
  <c r="AY138" i="24"/>
  <c r="AZ138" i="24" s="1"/>
  <c r="BD148" i="24"/>
  <c r="AY148" i="24"/>
  <c r="AZ148" i="24" s="1"/>
  <c r="BE148" i="24"/>
  <c r="BR148" i="24" s="1"/>
  <c r="BD111" i="24"/>
  <c r="BE111" i="24"/>
  <c r="BR111" i="24" s="1"/>
  <c r="AY111" i="24"/>
  <c r="AZ111" i="24" s="1"/>
  <c r="BE143" i="24"/>
  <c r="BR143" i="24" s="1"/>
  <c r="BD143" i="24"/>
  <c r="AY143" i="24"/>
  <c r="AZ143" i="24" s="1"/>
  <c r="AY160" i="24"/>
  <c r="AZ160" i="24" s="1"/>
  <c r="BE160" i="24"/>
  <c r="BR160" i="24" s="1"/>
  <c r="BD160" i="24"/>
  <c r="BD166" i="24"/>
  <c r="BE166" i="24"/>
  <c r="BR166" i="24" s="1"/>
  <c r="AY166" i="24"/>
  <c r="AZ166" i="24" s="1"/>
  <c r="BE153" i="24"/>
  <c r="BR153" i="24" s="1"/>
  <c r="BD153" i="24"/>
  <c r="AY153" i="24"/>
  <c r="AZ153" i="24" s="1"/>
  <c r="AY177" i="24"/>
  <c r="AZ177" i="24" s="1"/>
  <c r="BE177" i="24"/>
  <c r="BR177" i="24" s="1"/>
  <c r="BD177" i="24"/>
  <c r="AY142" i="24"/>
  <c r="AZ142" i="24" s="1"/>
  <c r="BD142" i="24"/>
  <c r="BE142" i="24"/>
  <c r="BR142" i="24" s="1"/>
  <c r="BD178" i="24"/>
  <c r="AY178" i="24"/>
  <c r="AZ178" i="24" s="1"/>
  <c r="BE178" i="24"/>
  <c r="BR178" i="24" s="1"/>
  <c r="BE171" i="24"/>
  <c r="BR171" i="24" s="1"/>
  <c r="BD171" i="24"/>
  <c r="AY171" i="24"/>
  <c r="AZ171" i="24" s="1"/>
  <c r="BE121" i="24"/>
  <c r="BR121" i="24" s="1"/>
  <c r="AY121" i="24"/>
  <c r="AZ121" i="24" s="1"/>
  <c r="BD121" i="24"/>
  <c r="AY180" i="24"/>
  <c r="AZ180" i="24" s="1"/>
  <c r="BE180" i="24"/>
  <c r="BR180" i="24" s="1"/>
  <c r="BD180" i="24"/>
  <c r="AY187" i="24"/>
  <c r="AZ187" i="24" s="1"/>
  <c r="BE187" i="24"/>
  <c r="BR187" i="24" s="1"/>
  <c r="BD187" i="24"/>
  <c r="AY197" i="24"/>
  <c r="AZ197" i="24" s="1"/>
  <c r="BD197" i="24"/>
  <c r="BE197" i="24"/>
  <c r="BR197" i="24" s="1"/>
  <c r="AY190" i="24"/>
  <c r="AZ190" i="24" s="1"/>
  <c r="BD190" i="24"/>
  <c r="BE190" i="24"/>
  <c r="BR190" i="24" s="1"/>
  <c r="AY137" i="24"/>
  <c r="AZ137" i="24" s="1"/>
  <c r="BE137" i="24"/>
  <c r="BR137" i="24" s="1"/>
  <c r="BD137" i="24"/>
  <c r="BD173" i="24"/>
  <c r="BE173" i="24"/>
  <c r="BR173" i="24" s="1"/>
  <c r="AY173" i="24"/>
  <c r="AZ173" i="24" s="1"/>
  <c r="BD125" i="24"/>
  <c r="BE125" i="24"/>
  <c r="BR125" i="24" s="1"/>
  <c r="AY125" i="24"/>
  <c r="AZ125" i="24" s="1"/>
  <c r="BE113" i="24"/>
  <c r="BR113" i="24" s="1"/>
  <c r="AY113" i="24"/>
  <c r="AZ113" i="24" s="1"/>
  <c r="BD113" i="24"/>
  <c r="BD129" i="24"/>
  <c r="BE129" i="24"/>
  <c r="BR129" i="24" s="1"/>
  <c r="AY129" i="24"/>
  <c r="AZ129" i="24" s="1"/>
  <c r="BD201" i="24"/>
  <c r="AY201" i="24"/>
  <c r="AZ201" i="24" s="1"/>
  <c r="BE201" i="24"/>
  <c r="BR201" i="24" s="1"/>
  <c r="BE186" i="24"/>
  <c r="BR186" i="24" s="1"/>
  <c r="AY186" i="24"/>
  <c r="AZ186" i="24" s="1"/>
  <c r="BD186" i="24"/>
  <c r="BD147" i="24"/>
  <c r="AY147" i="24"/>
  <c r="AZ147" i="24" s="1"/>
  <c r="BE147" i="24"/>
  <c r="BR147" i="24" s="1"/>
  <c r="BE152" i="24"/>
  <c r="BR152" i="24" s="1"/>
  <c r="BD152" i="24"/>
  <c r="AY152" i="24"/>
  <c r="AZ152" i="24" s="1"/>
  <c r="BD126" i="24"/>
  <c r="BE126" i="24"/>
  <c r="BR126" i="24" s="1"/>
  <c r="AY126" i="24"/>
  <c r="AZ126" i="24" s="1"/>
  <c r="BE127" i="24"/>
  <c r="BR127" i="24" s="1"/>
  <c r="AY127" i="24"/>
  <c r="AZ127" i="24" s="1"/>
  <c r="BD127" i="24"/>
  <c r="BE140" i="24"/>
  <c r="BR140" i="24" s="1"/>
  <c r="BD140" i="24"/>
  <c r="AY140" i="24"/>
  <c r="AZ140" i="24" s="1"/>
  <c r="BD144" i="24"/>
  <c r="AY144" i="24"/>
  <c r="AZ144" i="24" s="1"/>
  <c r="BE144" i="24"/>
  <c r="BR144" i="24" s="1"/>
  <c r="BE202" i="24"/>
  <c r="BR202" i="24" s="1"/>
  <c r="AY202" i="24"/>
  <c r="AZ202" i="24" s="1"/>
  <c r="BD202" i="24"/>
  <c r="BD196" i="24"/>
  <c r="AY196" i="24"/>
  <c r="AZ196" i="24" s="1"/>
  <c r="BE196" i="24"/>
  <c r="BR196" i="24" s="1"/>
  <c r="AY157" i="24"/>
  <c r="AZ157" i="24" s="1"/>
  <c r="BE157" i="24"/>
  <c r="BR157" i="24" s="1"/>
  <c r="BD157" i="24"/>
  <c r="AY174" i="24"/>
  <c r="AZ174" i="24" s="1"/>
  <c r="BD174" i="24"/>
  <c r="BE174" i="24"/>
  <c r="BR174" i="24" s="1"/>
  <c r="BE198" i="24"/>
  <c r="BR198" i="24" s="1"/>
  <c r="AY198" i="24"/>
  <c r="AZ198" i="24" s="1"/>
  <c r="BD198" i="24"/>
  <c r="BD150" i="24"/>
  <c r="AY150" i="24"/>
  <c r="AZ150" i="24" s="1"/>
  <c r="BE150" i="24"/>
  <c r="BR150" i="24" s="1"/>
  <c r="BE170" i="24"/>
  <c r="BR170" i="24" s="1"/>
  <c r="AY170" i="24"/>
  <c r="AZ170" i="24" s="1"/>
  <c r="BD170" i="24"/>
  <c r="BD146" i="24"/>
  <c r="BE146" i="24"/>
  <c r="BR146" i="24" s="1"/>
  <c r="AY146" i="24"/>
  <c r="AZ146" i="24" s="1"/>
  <c r="BT58" i="24"/>
  <c r="CB58" i="24"/>
  <c r="BA58" i="25"/>
  <c r="BP58" i="25" s="1"/>
  <c r="BB58" i="25"/>
  <c r="AZ69" i="24"/>
  <c r="AZ95" i="24"/>
  <c r="AU152" i="24"/>
  <c r="AZ91" i="24"/>
  <c r="AZ78" i="24"/>
  <c r="AX15" i="24"/>
  <c r="BT15" i="24"/>
  <c r="AX88" i="24"/>
  <c r="BT88" i="24"/>
  <c r="BT67" i="24"/>
  <c r="BT103" i="24"/>
  <c r="BT90" i="24"/>
  <c r="BT94" i="24"/>
  <c r="AZ87" i="24"/>
  <c r="AZ105" i="24"/>
  <c r="BT9" i="24"/>
  <c r="AQ99" i="24"/>
  <c r="BT99" i="24"/>
  <c r="AQ102" i="24"/>
  <c r="BT102" i="24"/>
  <c r="AQ13" i="24"/>
  <c r="BT13" i="24"/>
  <c r="BT71" i="24"/>
  <c r="BT93" i="24"/>
  <c r="CB6" i="24"/>
  <c r="BT6" i="24"/>
  <c r="BT77" i="24"/>
  <c r="AU278" i="24"/>
  <c r="AU78" i="24"/>
  <c r="BB78" i="24" s="1"/>
  <c r="AU217" i="24"/>
  <c r="AW305" i="24"/>
  <c r="AW182" i="24"/>
  <c r="AU70" i="24"/>
  <c r="BB70" i="24" s="1"/>
  <c r="AW193" i="24"/>
  <c r="AZ70" i="24"/>
  <c r="AX49" i="24"/>
  <c r="CB49" i="24"/>
  <c r="AW203" i="24"/>
  <c r="AW260" i="24"/>
  <c r="AU132" i="24"/>
  <c r="AZ60" i="24"/>
  <c r="AW238" i="24"/>
  <c r="AW289" i="24"/>
  <c r="AU128" i="24"/>
  <c r="AW191" i="24"/>
  <c r="AW73" i="24"/>
  <c r="AY73" i="24" s="1"/>
  <c r="AZ73" i="24" s="1"/>
  <c r="AW33" i="24"/>
  <c r="AY33" i="24" s="1"/>
  <c r="AZ33" i="24" s="1"/>
  <c r="AW176" i="24"/>
  <c r="AW159" i="24"/>
  <c r="AU255" i="24"/>
  <c r="AW114" i="24"/>
  <c r="AW242" i="24"/>
  <c r="AU226" i="24"/>
  <c r="AW311" i="24"/>
  <c r="AW291" i="24"/>
  <c r="AW312" i="24"/>
  <c r="AU204" i="24"/>
  <c r="AW189" i="24"/>
  <c r="AW225" i="24"/>
  <c r="AW209" i="24"/>
  <c r="AU147" i="24"/>
  <c r="AU146" i="24"/>
  <c r="AU81" i="24"/>
  <c r="BB81" i="24" s="1"/>
  <c r="AZ55" i="24"/>
  <c r="AW181" i="24"/>
  <c r="AW130" i="24"/>
  <c r="AU55" i="24"/>
  <c r="BB55" i="24" s="1"/>
  <c r="AW295" i="24"/>
  <c r="AU170" i="24"/>
  <c r="AQ98" i="24"/>
  <c r="CB98" i="24"/>
  <c r="AU25" i="24"/>
  <c r="BB25" i="24" s="1"/>
  <c r="AW206" i="24"/>
  <c r="AW168" i="24"/>
  <c r="AW265" i="24"/>
  <c r="AU308" i="24"/>
  <c r="AW188" i="24"/>
  <c r="AU150" i="24"/>
  <c r="AU198" i="24"/>
  <c r="AW195" i="24"/>
  <c r="AW156" i="24"/>
  <c r="AW284" i="24"/>
  <c r="AW232" i="24"/>
  <c r="AW306" i="24"/>
  <c r="AU162" i="24"/>
  <c r="AW112" i="24"/>
  <c r="AU117" i="24"/>
  <c r="AU10" i="24"/>
  <c r="BB10" i="24" s="1"/>
  <c r="AU174" i="24"/>
  <c r="AW199" i="24"/>
  <c r="BD104" i="24"/>
  <c r="BG104" i="24" s="1"/>
  <c r="BL104" i="24" s="1"/>
  <c r="AZ10" i="24"/>
  <c r="AW136" i="24"/>
  <c r="AW51" i="24"/>
  <c r="AY51" i="24" s="1"/>
  <c r="AZ51" i="24" s="1"/>
  <c r="AU205" i="24"/>
  <c r="AU60" i="24"/>
  <c r="BB60" i="24" s="1"/>
  <c r="AW123" i="24"/>
  <c r="AU184" i="24"/>
  <c r="AU163" i="24"/>
  <c r="AW208" i="24"/>
  <c r="AW119" i="24"/>
  <c r="AZ101" i="24"/>
  <c r="AW110" i="24"/>
  <c r="AU196" i="24"/>
  <c r="AU95" i="24"/>
  <c r="BB95" i="24" s="1"/>
  <c r="AW141" i="24"/>
  <c r="AU157" i="24"/>
  <c r="AW86" i="24"/>
  <c r="AY86" i="24" s="1"/>
  <c r="AZ86" i="24" s="1"/>
  <c r="AW149" i="24"/>
  <c r="AU186" i="24"/>
  <c r="AZ41" i="24"/>
  <c r="AU101" i="24"/>
  <c r="BB101" i="24" s="1"/>
  <c r="AW23" i="24"/>
  <c r="AY23" i="24" s="1"/>
  <c r="AZ23" i="24" s="1"/>
  <c r="AW194" i="24"/>
  <c r="AW192" i="24"/>
  <c r="AU131" i="24"/>
  <c r="AU41" i="24"/>
  <c r="BB41" i="24" s="1"/>
  <c r="AU105" i="24"/>
  <c r="B127" i="2" s="1"/>
  <c r="AW97" i="24"/>
  <c r="AY97" i="24" s="1"/>
  <c r="AZ97" i="24" s="1"/>
  <c r="AW210" i="24"/>
  <c r="AW172" i="24"/>
  <c r="AW161" i="24"/>
  <c r="AW43" i="24"/>
  <c r="AY43" i="24" s="1"/>
  <c r="AZ43" i="24" s="1"/>
  <c r="AW64" i="24"/>
  <c r="AY64" i="24" s="1"/>
  <c r="AZ64" i="24" s="1"/>
  <c r="BE104" i="24"/>
  <c r="BR104" i="24" s="1"/>
  <c r="AU14" i="24"/>
  <c r="BB14" i="24" s="1"/>
  <c r="AW27" i="24"/>
  <c r="AY27" i="24" s="1"/>
  <c r="AZ27" i="24" s="1"/>
  <c r="AQ88" i="24"/>
  <c r="AU207" i="24"/>
  <c r="AZ14" i="24"/>
  <c r="AW155" i="24"/>
  <c r="BJ49" i="24"/>
  <c r="AS49" i="24"/>
  <c r="AW49" i="24" s="1"/>
  <c r="AY49" i="24" s="1"/>
  <c r="BJ88" i="24"/>
  <c r="BS88" i="24"/>
  <c r="AU50" i="24"/>
  <c r="BB50" i="24" s="1"/>
  <c r="BH88" i="24"/>
  <c r="AS88" i="24"/>
  <c r="AW88" i="24" s="1"/>
  <c r="AY88" i="24" s="1"/>
  <c r="BI88" i="24"/>
  <c r="AW169" i="24"/>
  <c r="AU91" i="24"/>
  <c r="BB91" i="24" s="1"/>
  <c r="AQ49" i="24"/>
  <c r="BS13" i="24"/>
  <c r="AW134" i="24"/>
  <c r="BH49" i="24"/>
  <c r="AW65" i="24"/>
  <c r="AY65" i="24" s="1"/>
  <c r="AZ65" i="24" s="1"/>
  <c r="AU110" i="25"/>
  <c r="AS71" i="24"/>
  <c r="BS71" i="24"/>
  <c r="AU87" i="24"/>
  <c r="BB87" i="24" s="1"/>
  <c r="AW35" i="24"/>
  <c r="AY35" i="24" s="1"/>
  <c r="AZ35" i="24" s="1"/>
  <c r="BI49" i="24"/>
  <c r="BI71" i="24"/>
  <c r="BH71" i="24"/>
  <c r="AW81" i="24"/>
  <c r="AY81" i="24" s="1"/>
  <c r="AZ81" i="24" s="1"/>
  <c r="BS49" i="24"/>
  <c r="AX71" i="24"/>
  <c r="AQ71" i="24"/>
  <c r="AW22" i="24"/>
  <c r="AY22" i="24" s="1"/>
  <c r="AZ22" i="24" s="1"/>
  <c r="AX13" i="24"/>
  <c r="AS13" i="24"/>
  <c r="BH13" i="24"/>
  <c r="BJ13" i="24"/>
  <c r="BD34" i="24"/>
  <c r="BG34" i="24" s="1"/>
  <c r="BL34" i="24" s="1"/>
  <c r="AS15" i="24"/>
  <c r="BJ15" i="24"/>
  <c r="BI15" i="24"/>
  <c r="AU34" i="24"/>
  <c r="BB34" i="24" s="1"/>
  <c r="BE34" i="24"/>
  <c r="BR34" i="24" s="1"/>
  <c r="BD69" i="24"/>
  <c r="BQ69" i="24" s="1"/>
  <c r="BQ5" i="24"/>
  <c r="BU5" i="24" s="1"/>
  <c r="BE69" i="24"/>
  <c r="BR69" i="24" s="1"/>
  <c r="AU69" i="24"/>
  <c r="BB69" i="24" s="1"/>
  <c r="BH15" i="24"/>
  <c r="BS15" i="24"/>
  <c r="AQ15" i="24"/>
  <c r="AU22" i="24"/>
  <c r="BB22" i="24" s="1"/>
  <c r="BI102" i="24"/>
  <c r="AS102" i="24"/>
  <c r="BH102" i="24"/>
  <c r="AX102" i="24"/>
  <c r="BJ102" i="24"/>
  <c r="BS102" i="24"/>
  <c r="BH48" i="24"/>
  <c r="AX48" i="24"/>
  <c r="BI48" i="24"/>
  <c r="AQ48" i="24"/>
  <c r="BS48" i="24"/>
  <c r="BJ48" i="24"/>
  <c r="AS48" i="24"/>
  <c r="AX93" i="24"/>
  <c r="BI93" i="24"/>
  <c r="AS93" i="24"/>
  <c r="BH93" i="24"/>
  <c r="BJ93" i="24"/>
  <c r="AQ93" i="24"/>
  <c r="BS93" i="24"/>
  <c r="AX8" i="24"/>
  <c r="BJ8" i="24"/>
  <c r="AQ8" i="24"/>
  <c r="BI8" i="24"/>
  <c r="AS8" i="24"/>
  <c r="BH8" i="24"/>
  <c r="BS8" i="24"/>
  <c r="AX37" i="24"/>
  <c r="BI37" i="24"/>
  <c r="AS37" i="24"/>
  <c r="BJ37" i="24"/>
  <c r="AQ37" i="24"/>
  <c r="BS37" i="24"/>
  <c r="BH37" i="24"/>
  <c r="BS94" i="24"/>
  <c r="AX94" i="24"/>
  <c r="AQ94" i="24"/>
  <c r="BH94" i="24"/>
  <c r="BJ94" i="24"/>
  <c r="AS94" i="24"/>
  <c r="BI94" i="24"/>
  <c r="BH16" i="24"/>
  <c r="BS16" i="24"/>
  <c r="BJ16" i="24"/>
  <c r="AQ16" i="24"/>
  <c r="AS16" i="24"/>
  <c r="BI16" i="24"/>
  <c r="AX16" i="24"/>
  <c r="BH75" i="24"/>
  <c r="BJ75" i="24"/>
  <c r="AQ75" i="24"/>
  <c r="AS75" i="24"/>
  <c r="AX75" i="24"/>
  <c r="BI75" i="24"/>
  <c r="BS75" i="24"/>
  <c r="BH57" i="24"/>
  <c r="BI57" i="24"/>
  <c r="BS57" i="24"/>
  <c r="AS57" i="24"/>
  <c r="AQ57" i="24"/>
  <c r="BJ57" i="24"/>
  <c r="AX57" i="24"/>
  <c r="BJ47" i="24"/>
  <c r="AQ47" i="24"/>
  <c r="BI47" i="24"/>
  <c r="AX47" i="24"/>
  <c r="BH47" i="24"/>
  <c r="BS47" i="24"/>
  <c r="AS47" i="24"/>
  <c r="AX99" i="24"/>
  <c r="BH99" i="24"/>
  <c r="AS99" i="24"/>
  <c r="BS99" i="24"/>
  <c r="BJ99" i="24"/>
  <c r="BI99" i="24"/>
  <c r="AX103" i="24"/>
  <c r="AS103" i="24"/>
  <c r="BH103" i="24"/>
  <c r="BI103" i="24"/>
  <c r="BJ103" i="24"/>
  <c r="BS103" i="24"/>
  <c r="BS98" i="24"/>
  <c r="BH98" i="24"/>
  <c r="BI98" i="24"/>
  <c r="AX98" i="24"/>
  <c r="AS98" i="24"/>
  <c r="BJ98" i="24"/>
  <c r="BH45" i="24"/>
  <c r="AS45" i="24"/>
  <c r="AX45" i="24"/>
  <c r="BS45" i="24"/>
  <c r="BJ45" i="24"/>
  <c r="BI45" i="24"/>
  <c r="AQ45" i="24"/>
  <c r="BH24" i="24"/>
  <c r="BJ24" i="24"/>
  <c r="AS24" i="24"/>
  <c r="AX24" i="24"/>
  <c r="AQ24" i="24"/>
  <c r="BS24" i="24"/>
  <c r="BI24" i="24"/>
  <c r="AX58" i="24"/>
  <c r="AS58" i="24"/>
  <c r="BH58" i="24"/>
  <c r="AQ58" i="24"/>
  <c r="BI58" i="24"/>
  <c r="BJ58" i="24"/>
  <c r="BS58" i="24"/>
  <c r="AX84" i="24"/>
  <c r="AQ84" i="24"/>
  <c r="BH84" i="24"/>
  <c r="BJ84" i="24"/>
  <c r="BS84" i="24"/>
  <c r="BI84" i="24"/>
  <c r="AS84" i="24"/>
  <c r="BH12" i="24"/>
  <c r="BJ12" i="24"/>
  <c r="AS12" i="24"/>
  <c r="AX12" i="24"/>
  <c r="BS12" i="24"/>
  <c r="AQ12" i="24"/>
  <c r="BI12" i="24"/>
  <c r="AX38" i="24"/>
  <c r="BI38" i="24"/>
  <c r="AS38" i="24"/>
  <c r="BS38" i="24"/>
  <c r="BJ38" i="24"/>
  <c r="AQ38" i="24"/>
  <c r="BH38" i="24"/>
  <c r="AX9" i="24"/>
  <c r="AS9" i="24"/>
  <c r="BI9" i="24"/>
  <c r="AQ9" i="24"/>
  <c r="BJ9" i="24"/>
  <c r="AX67" i="24"/>
  <c r="BH67" i="24"/>
  <c r="BI67" i="24"/>
  <c r="AS67" i="24"/>
  <c r="BS67" i="24"/>
  <c r="BJ67" i="24"/>
  <c r="AQ67" i="24"/>
  <c r="BS80" i="24"/>
  <c r="BH80" i="24"/>
  <c r="BI80" i="24"/>
  <c r="AS80" i="24"/>
  <c r="AQ80" i="24"/>
  <c r="AX80" i="24"/>
  <c r="BJ80" i="24"/>
  <c r="AX26" i="24"/>
  <c r="BS26" i="24"/>
  <c r="BJ26" i="24"/>
  <c r="BI26" i="24"/>
  <c r="AQ26" i="24"/>
  <c r="BH26" i="24"/>
  <c r="AS26" i="24"/>
  <c r="BH44" i="24"/>
  <c r="BJ44" i="24"/>
  <c r="BS44" i="24"/>
  <c r="BI44" i="24"/>
  <c r="AS44" i="24"/>
  <c r="AX44" i="24"/>
  <c r="AQ44" i="24"/>
  <c r="AX77" i="24"/>
  <c r="BJ77" i="24"/>
  <c r="AQ77" i="24"/>
  <c r="BH77" i="24"/>
  <c r="BS77" i="24"/>
  <c r="BI77" i="24"/>
  <c r="AS77" i="24"/>
  <c r="AX39" i="24"/>
  <c r="AS39" i="24"/>
  <c r="BJ39" i="24"/>
  <c r="BH39" i="24"/>
  <c r="BS39" i="24"/>
  <c r="BI39" i="24"/>
  <c r="AQ39" i="24"/>
  <c r="AX52" i="24"/>
  <c r="BH52" i="24"/>
  <c r="BJ52" i="24"/>
  <c r="AQ52" i="24"/>
  <c r="BS52" i="24"/>
  <c r="BI52" i="24"/>
  <c r="AS52" i="24"/>
  <c r="BS90" i="24"/>
  <c r="BJ90" i="24"/>
  <c r="AX90" i="24"/>
  <c r="AS90" i="24"/>
  <c r="BI90" i="24"/>
  <c r="AQ90" i="24"/>
  <c r="BH90" i="24"/>
  <c r="BH30" i="24"/>
  <c r="AS30" i="24"/>
  <c r="BS30" i="24"/>
  <c r="BI30" i="24"/>
  <c r="BJ30" i="24"/>
  <c r="AX30" i="24"/>
  <c r="AQ30" i="24"/>
  <c r="AX62" i="24"/>
  <c r="BH62" i="24"/>
  <c r="AS62" i="24"/>
  <c r="BS62" i="24"/>
  <c r="BJ62" i="24"/>
  <c r="BI62" i="24"/>
  <c r="AQ62" i="24"/>
  <c r="AX11" i="24"/>
  <c r="AS11" i="24"/>
  <c r="BI11" i="24"/>
  <c r="BJ11" i="24"/>
  <c r="BS11" i="24"/>
  <c r="AQ11" i="24"/>
  <c r="BH11" i="24"/>
  <c r="BH76" i="24"/>
  <c r="BI76" i="24"/>
  <c r="AS76" i="24"/>
  <c r="BS76" i="24"/>
  <c r="AQ76" i="24"/>
  <c r="AX76" i="24"/>
  <c r="BJ76" i="24"/>
  <c r="BH9" i="24"/>
  <c r="AX17" i="24"/>
  <c r="BS17" i="24"/>
  <c r="BI17" i="24"/>
  <c r="BJ17" i="24"/>
  <c r="BH17" i="24"/>
  <c r="AQ17" i="24"/>
  <c r="AS17" i="24"/>
  <c r="AS20" i="24"/>
  <c r="BS20" i="24"/>
  <c r="BJ20" i="24"/>
  <c r="BH20" i="24"/>
  <c r="BI20" i="24"/>
  <c r="AQ20" i="24"/>
  <c r="AX20" i="24"/>
  <c r="BH66" i="24"/>
  <c r="BI66" i="24"/>
  <c r="AS66" i="24"/>
  <c r="BS66" i="24"/>
  <c r="AX66" i="24"/>
  <c r="BJ66" i="24"/>
  <c r="AQ66" i="24"/>
  <c r="AX61" i="24"/>
  <c r="BS61" i="24"/>
  <c r="AS61" i="24"/>
  <c r="BH61" i="24"/>
  <c r="BI61" i="24"/>
  <c r="AQ61" i="24"/>
  <c r="BJ61" i="24"/>
  <c r="BI7" i="24"/>
  <c r="AQ7" i="24"/>
  <c r="AX7" i="24"/>
  <c r="BJ7" i="24"/>
  <c r="AS7" i="24"/>
  <c r="BH7" i="24"/>
  <c r="BS7" i="24"/>
  <c r="AX6" i="24"/>
  <c r="BI6" i="24"/>
  <c r="AS6" i="24"/>
  <c r="BS6" i="24"/>
  <c r="BH6" i="24"/>
  <c r="AQ6" i="24"/>
  <c r="BJ6" i="24"/>
  <c r="BE40" i="24"/>
  <c r="BR40" i="24" s="1"/>
  <c r="AY105" i="25"/>
  <c r="BB8" i="25"/>
  <c r="BC8" i="25"/>
  <c r="BR8" i="25" s="1"/>
  <c r="BB82" i="25"/>
  <c r="BC82" i="25"/>
  <c r="BR82" i="25" s="1"/>
  <c r="BB74" i="25"/>
  <c r="BC74" i="25"/>
  <c r="BR74" i="25" s="1"/>
  <c r="BB45" i="25"/>
  <c r="BC45" i="25"/>
  <c r="BR45" i="25" s="1"/>
  <c r="BB62" i="25"/>
  <c r="BC62" i="25"/>
  <c r="BR62" i="25" s="1"/>
  <c r="BB103" i="25"/>
  <c r="BC103" i="25"/>
  <c r="BR103" i="25" s="1"/>
  <c r="BC44" i="25"/>
  <c r="BR44" i="25" s="1"/>
  <c r="BB44" i="25"/>
  <c r="BC28" i="25"/>
  <c r="BR28" i="25" s="1"/>
  <c r="BB28" i="25"/>
  <c r="BB7" i="25"/>
  <c r="BC7" i="25"/>
  <c r="BR7" i="25" s="1"/>
  <c r="BB101" i="25"/>
  <c r="BC101" i="25"/>
  <c r="BR101" i="25" s="1"/>
  <c r="BB46" i="25"/>
  <c r="BC46" i="25"/>
  <c r="BR46" i="25" s="1"/>
  <c r="BB9" i="25"/>
  <c r="BC9" i="25"/>
  <c r="BR9" i="25" s="1"/>
  <c r="BC78" i="25"/>
  <c r="BR78" i="25" s="1"/>
  <c r="BB78" i="25"/>
  <c r="BB22" i="25"/>
  <c r="BC22" i="25"/>
  <c r="BR22" i="25" s="1"/>
  <c r="BB67" i="25"/>
  <c r="BC67" i="25"/>
  <c r="BR67" i="25" s="1"/>
  <c r="BB51" i="25"/>
  <c r="BC51" i="25"/>
  <c r="BR51" i="25" s="1"/>
  <c r="BB77" i="25"/>
  <c r="BC77" i="25"/>
  <c r="BR77" i="25" s="1"/>
  <c r="BB10" i="25"/>
  <c r="BC10" i="25"/>
  <c r="BR10" i="25" s="1"/>
  <c r="BB30" i="25"/>
  <c r="BC30" i="25"/>
  <c r="BR30" i="25" s="1"/>
  <c r="BB91" i="25"/>
  <c r="BC91" i="25"/>
  <c r="BR91" i="25" s="1"/>
  <c r="BB13" i="25"/>
  <c r="BC13" i="25"/>
  <c r="BR13" i="25" s="1"/>
  <c r="BB31" i="25"/>
  <c r="BC31" i="25"/>
  <c r="BR31" i="25" s="1"/>
  <c r="BB96" i="25"/>
  <c r="BC96" i="25"/>
  <c r="BR96" i="25" s="1"/>
  <c r="BB104" i="25"/>
  <c r="BC104" i="25"/>
  <c r="BR104" i="25" s="1"/>
  <c r="BB25" i="25"/>
  <c r="BC25" i="25"/>
  <c r="BR25" i="25" s="1"/>
  <c r="BC60" i="25"/>
  <c r="BR60" i="25" s="1"/>
  <c r="BB60" i="25"/>
  <c r="BB66" i="25"/>
  <c r="BC66" i="25"/>
  <c r="BR66" i="25" s="1"/>
  <c r="BB73" i="25"/>
  <c r="BC73" i="25"/>
  <c r="BR73" i="25" s="1"/>
  <c r="BB98" i="25"/>
  <c r="BC98" i="25"/>
  <c r="BR98" i="25" s="1"/>
  <c r="BB81" i="25"/>
  <c r="BC81" i="25"/>
  <c r="BR81" i="25" s="1"/>
  <c r="BB34" i="25"/>
  <c r="BC34" i="25"/>
  <c r="BR34" i="25" s="1"/>
  <c r="BB21" i="25"/>
  <c r="BC21" i="25"/>
  <c r="BR21" i="25" s="1"/>
  <c r="BC56" i="25"/>
  <c r="BR56" i="25" s="1"/>
  <c r="BB56" i="25"/>
  <c r="BC86" i="25"/>
  <c r="BR86" i="25" s="1"/>
  <c r="BB86" i="25"/>
  <c r="BB87" i="25"/>
  <c r="BC87" i="25"/>
  <c r="BR87" i="25" s="1"/>
  <c r="BB75" i="25"/>
  <c r="BC75" i="25"/>
  <c r="BR75" i="25" s="1"/>
  <c r="BC36" i="25"/>
  <c r="BR36" i="25" s="1"/>
  <c r="BB36" i="25"/>
  <c r="BB11" i="25"/>
  <c r="BC11" i="25"/>
  <c r="BR11" i="25" s="1"/>
  <c r="BB38" i="25"/>
  <c r="BC38" i="25"/>
  <c r="BR38" i="25" s="1"/>
  <c r="BB69" i="25"/>
  <c r="BC69" i="25"/>
  <c r="BR69" i="25" s="1"/>
  <c r="BB59" i="25"/>
  <c r="BC59" i="25"/>
  <c r="BR59" i="25" s="1"/>
  <c r="BB76" i="25"/>
  <c r="BC76" i="25"/>
  <c r="BR76" i="25" s="1"/>
  <c r="BB27" i="25"/>
  <c r="BC27" i="25"/>
  <c r="BR27" i="25" s="1"/>
  <c r="BB79" i="25"/>
  <c r="BC79" i="25"/>
  <c r="BR79" i="25" s="1"/>
  <c r="BB54" i="25"/>
  <c r="BC54" i="25"/>
  <c r="BR54" i="25" s="1"/>
  <c r="BB71" i="25"/>
  <c r="BC71" i="25"/>
  <c r="BR71" i="25" s="1"/>
  <c r="BB15" i="25"/>
  <c r="BC15" i="25"/>
  <c r="BR15" i="25" s="1"/>
  <c r="BB105" i="25"/>
  <c r="BC105" i="25"/>
  <c r="BR105" i="25" s="1"/>
  <c r="BB18" i="25"/>
  <c r="BC18" i="25"/>
  <c r="BR18" i="25" s="1"/>
  <c r="BC32" i="25"/>
  <c r="BR32" i="25" s="1"/>
  <c r="BB32" i="25"/>
  <c r="BB57" i="25"/>
  <c r="BC57" i="25"/>
  <c r="BR57" i="25" s="1"/>
  <c r="BB65" i="25"/>
  <c r="BC65" i="25"/>
  <c r="BR65" i="25" s="1"/>
  <c r="BC72" i="25"/>
  <c r="BR72" i="25" s="1"/>
  <c r="BB72" i="25"/>
  <c r="BB29" i="25"/>
  <c r="BC29" i="25"/>
  <c r="BR29" i="25" s="1"/>
  <c r="BB88" i="25"/>
  <c r="BC88" i="25"/>
  <c r="BR88" i="25" s="1"/>
  <c r="BB12" i="25"/>
  <c r="BC12" i="25"/>
  <c r="BR12" i="25" s="1"/>
  <c r="BC64" i="25"/>
  <c r="BR64" i="25" s="1"/>
  <c r="BB64" i="25"/>
  <c r="BB26" i="25"/>
  <c r="BC26" i="25"/>
  <c r="BR26" i="25" s="1"/>
  <c r="BB100" i="25"/>
  <c r="BC100" i="25"/>
  <c r="BR100" i="25" s="1"/>
  <c r="BB97" i="25"/>
  <c r="BC97" i="25"/>
  <c r="BR97" i="25" s="1"/>
  <c r="BB19" i="25"/>
  <c r="BC19" i="25"/>
  <c r="BR19" i="25" s="1"/>
  <c r="BB20" i="25"/>
  <c r="BC20" i="25"/>
  <c r="BR20" i="25" s="1"/>
  <c r="BB17" i="25"/>
  <c r="BC17" i="25"/>
  <c r="BR17" i="25" s="1"/>
  <c r="BB47" i="25"/>
  <c r="BC47" i="25"/>
  <c r="BR47" i="25" s="1"/>
  <c r="BB63" i="25"/>
  <c r="BC63" i="25"/>
  <c r="BR63" i="25" s="1"/>
  <c r="BB53" i="25"/>
  <c r="BC53" i="25"/>
  <c r="BR53" i="25" s="1"/>
  <c r="BB93" i="25"/>
  <c r="BC93" i="25"/>
  <c r="BR93" i="25" s="1"/>
  <c r="BC68" i="25"/>
  <c r="BR68" i="25" s="1"/>
  <c r="BB68" i="25"/>
  <c r="BB24" i="25"/>
  <c r="BC24" i="25"/>
  <c r="BR24" i="25" s="1"/>
  <c r="BC94" i="25"/>
  <c r="BR94" i="25" s="1"/>
  <c r="BB94" i="25"/>
  <c r="BC52" i="25"/>
  <c r="BR52" i="25" s="1"/>
  <c r="BB52" i="25"/>
  <c r="BB92" i="25"/>
  <c r="BC92" i="25"/>
  <c r="BR92" i="25" s="1"/>
  <c r="BB33" i="25"/>
  <c r="BC33" i="25"/>
  <c r="BR33" i="25" s="1"/>
  <c r="BB99" i="25"/>
  <c r="BC99" i="25"/>
  <c r="BR99" i="25" s="1"/>
  <c r="BB95" i="25"/>
  <c r="BC95" i="25"/>
  <c r="BR95" i="25" s="1"/>
  <c r="BB55" i="25"/>
  <c r="BC55" i="25"/>
  <c r="BR55" i="25" s="1"/>
  <c r="BB70" i="25"/>
  <c r="BC70" i="25"/>
  <c r="BR70" i="25" s="1"/>
  <c r="BC102" i="25"/>
  <c r="BR102" i="25" s="1"/>
  <c r="BB102" i="25"/>
  <c r="BB83" i="25"/>
  <c r="BC83" i="25"/>
  <c r="BR83" i="25" s="1"/>
  <c r="BB14" i="25"/>
  <c r="BC14" i="25"/>
  <c r="BR14" i="25" s="1"/>
  <c r="BB80" i="25"/>
  <c r="BC80" i="25"/>
  <c r="BR80" i="25" s="1"/>
  <c r="BB42" i="25"/>
  <c r="BC42" i="25"/>
  <c r="BR42" i="25" s="1"/>
  <c r="BB6" i="25"/>
  <c r="BC6" i="25"/>
  <c r="BR6" i="25" s="1"/>
  <c r="BB49" i="25"/>
  <c r="BC49" i="25"/>
  <c r="BR49" i="25" s="1"/>
  <c r="BB37" i="25"/>
  <c r="BC37" i="25"/>
  <c r="BR37" i="25" s="1"/>
  <c r="BB50" i="25"/>
  <c r="BC50" i="25"/>
  <c r="BR50" i="25" s="1"/>
  <c r="BB89" i="25"/>
  <c r="BC89" i="25"/>
  <c r="BR89" i="25" s="1"/>
  <c r="BC48" i="25"/>
  <c r="BR48" i="25" s="1"/>
  <c r="BB48" i="25"/>
  <c r="BB39" i="25"/>
  <c r="BC39" i="25"/>
  <c r="BR39" i="25" s="1"/>
  <c r="BC40" i="25"/>
  <c r="BR40" i="25" s="1"/>
  <c r="BB40" i="25"/>
  <c r="BB23" i="25"/>
  <c r="BC23" i="25"/>
  <c r="BR23" i="25" s="1"/>
  <c r="BB61" i="25"/>
  <c r="BC61" i="25"/>
  <c r="BR61" i="25" s="1"/>
  <c r="BB16" i="25"/>
  <c r="BC16" i="25"/>
  <c r="BR16" i="25" s="1"/>
  <c r="BB41" i="25"/>
  <c r="BC41" i="25"/>
  <c r="BR41" i="25" s="1"/>
  <c r="BB35" i="25"/>
  <c r="BC35" i="25"/>
  <c r="BR35" i="25" s="1"/>
  <c r="BB90" i="25"/>
  <c r="BC90" i="25"/>
  <c r="BR90" i="25" s="1"/>
  <c r="BB84" i="25"/>
  <c r="BC84" i="25"/>
  <c r="BR84" i="25" s="1"/>
  <c r="BB85" i="25"/>
  <c r="BC85" i="25"/>
  <c r="BR85" i="25" s="1"/>
  <c r="BB43" i="25"/>
  <c r="BC43" i="25"/>
  <c r="BR43" i="25" s="1"/>
  <c r="AT5" i="25"/>
  <c r="AY5" i="25" s="1"/>
  <c r="AU5" i="25"/>
  <c r="BD40" i="24"/>
  <c r="BG40" i="24" s="1"/>
  <c r="BL40" i="24" s="1"/>
  <c r="BA90" i="25"/>
  <c r="BP90" i="25" s="1"/>
  <c r="BA33" i="25"/>
  <c r="BP33" i="25" s="1"/>
  <c r="BA55" i="25"/>
  <c r="BP55" i="25" s="1"/>
  <c r="BA60" i="25"/>
  <c r="BP60" i="25" s="1"/>
  <c r="BA98" i="25"/>
  <c r="BP98" i="25" s="1"/>
  <c r="BA95" i="25"/>
  <c r="BE95" i="25" s="1"/>
  <c r="BQ58" i="25"/>
  <c r="BA18" i="25"/>
  <c r="BE18" i="25" s="1"/>
  <c r="BA65" i="25"/>
  <c r="BP65" i="25" s="1"/>
  <c r="B96" i="2"/>
  <c r="B99" i="2"/>
  <c r="E23" i="1" s="1"/>
  <c r="B109" i="2"/>
  <c r="L23" i="1" s="1"/>
  <c r="B106" i="2"/>
  <c r="BA43" i="25"/>
  <c r="BP43" i="25" s="1"/>
  <c r="BA32" i="25"/>
  <c r="BP32" i="25" s="1"/>
  <c r="BA73" i="25"/>
  <c r="BP73" i="25" s="1"/>
  <c r="BA57" i="25"/>
  <c r="BE57" i="25" s="1"/>
  <c r="BA85" i="25"/>
  <c r="BE85" i="25" s="1"/>
  <c r="BA99" i="25"/>
  <c r="BP99" i="25" s="1"/>
  <c r="BA84" i="25"/>
  <c r="BE84" i="25" s="1"/>
  <c r="BA66" i="25"/>
  <c r="BE66" i="25" s="1"/>
  <c r="BA70" i="25"/>
  <c r="BA81" i="25"/>
  <c r="BA34" i="25"/>
  <c r="BA21" i="25"/>
  <c r="BA56" i="25"/>
  <c r="BA86" i="25"/>
  <c r="BA87" i="25"/>
  <c r="BA6" i="25"/>
  <c r="BA49" i="25"/>
  <c r="BA37" i="25"/>
  <c r="BA50" i="25"/>
  <c r="BA89" i="25"/>
  <c r="BA48" i="25"/>
  <c r="BA39" i="25"/>
  <c r="BA40" i="25"/>
  <c r="BA54" i="25"/>
  <c r="BA71" i="25"/>
  <c r="BA105" i="25"/>
  <c r="BA8" i="25"/>
  <c r="BA29" i="25"/>
  <c r="BA88" i="25"/>
  <c r="BA62" i="25"/>
  <c r="BA103" i="25"/>
  <c r="BA26" i="25"/>
  <c r="BA100" i="25"/>
  <c r="BA28" i="25"/>
  <c r="BA7" i="25"/>
  <c r="BA101" i="25"/>
  <c r="BA46" i="25"/>
  <c r="BA9" i="25"/>
  <c r="BA78" i="25"/>
  <c r="BA22" i="25"/>
  <c r="BA47" i="25"/>
  <c r="BA63" i="25"/>
  <c r="BA51" i="25"/>
  <c r="BA77" i="25"/>
  <c r="BA93" i="25"/>
  <c r="BA68" i="25"/>
  <c r="BA24" i="25"/>
  <c r="BA31" i="25"/>
  <c r="BA96" i="25"/>
  <c r="BA104" i="25"/>
  <c r="BA25" i="25"/>
  <c r="BA102" i="25"/>
  <c r="BA83" i="25"/>
  <c r="BA14" i="25"/>
  <c r="BA80" i="25"/>
  <c r="BA42" i="25"/>
  <c r="BA75" i="25"/>
  <c r="BA36" i="25"/>
  <c r="BA11" i="25"/>
  <c r="BA38" i="25"/>
  <c r="BA69" i="25"/>
  <c r="BA59" i="25"/>
  <c r="BA76" i="25"/>
  <c r="BA27" i="25"/>
  <c r="BA79" i="25"/>
  <c r="BA23" i="25"/>
  <c r="BA61" i="25"/>
  <c r="BA16" i="25"/>
  <c r="BA15" i="25"/>
  <c r="BA41" i="25"/>
  <c r="BA35" i="25"/>
  <c r="BA72" i="25"/>
  <c r="BA82" i="25"/>
  <c r="BA74" i="25"/>
  <c r="BA45" i="25"/>
  <c r="BA12" i="25"/>
  <c r="BA64" i="25"/>
  <c r="BA44" i="25"/>
  <c r="BA97" i="25"/>
  <c r="BA19" i="25"/>
  <c r="BA20" i="25"/>
  <c r="BA17" i="25"/>
  <c r="BA67" i="25"/>
  <c r="BA53" i="25"/>
  <c r="BA10" i="25"/>
  <c r="BA30" i="25"/>
  <c r="BA91" i="25"/>
  <c r="BA13" i="25"/>
  <c r="BA94" i="25"/>
  <c r="BA52" i="25"/>
  <c r="BA92" i="25"/>
  <c r="BL53" i="24"/>
  <c r="BL32" i="24"/>
  <c r="BQ53" i="24"/>
  <c r="BU53" i="24" s="1"/>
  <c r="BQ32" i="24"/>
  <c r="BU32" i="24" s="1"/>
  <c r="BD85" i="24"/>
  <c r="BG85" i="24" s="1"/>
  <c r="BE85" i="24"/>
  <c r="BR85" i="24" s="1"/>
  <c r="BD21" i="24"/>
  <c r="BG21" i="24" s="1"/>
  <c r="BE21" i="24"/>
  <c r="BR21" i="24" s="1"/>
  <c r="BD95" i="24"/>
  <c r="BG95" i="24" s="1"/>
  <c r="BE95" i="24"/>
  <c r="BR95" i="24" s="1"/>
  <c r="BD68" i="24"/>
  <c r="BG68" i="24" s="1"/>
  <c r="BE68" i="24"/>
  <c r="BR68" i="24" s="1"/>
  <c r="BD28" i="24"/>
  <c r="BQ28" i="24" s="1"/>
  <c r="BE28" i="24"/>
  <c r="BR28" i="24" s="1"/>
  <c r="BD14" i="24"/>
  <c r="BG14" i="24" s="1"/>
  <c r="BE14" i="24"/>
  <c r="BR14" i="24" s="1"/>
  <c r="BD92" i="24"/>
  <c r="BG92" i="24" s="1"/>
  <c r="BE92" i="24"/>
  <c r="BR92" i="24" s="1"/>
  <c r="BD55" i="24"/>
  <c r="BQ55" i="24" s="1"/>
  <c r="BE55" i="24"/>
  <c r="BR55" i="24" s="1"/>
  <c r="BD105" i="24"/>
  <c r="BG105" i="24" s="1"/>
  <c r="BE105" i="24"/>
  <c r="BR105" i="24" s="1"/>
  <c r="BD63" i="24"/>
  <c r="BQ63" i="24" s="1"/>
  <c r="BE63" i="24"/>
  <c r="BR63" i="24" s="1"/>
  <c r="BD36" i="24"/>
  <c r="BG36" i="24" s="1"/>
  <c r="BE36" i="24"/>
  <c r="BR36" i="24" s="1"/>
  <c r="BD42" i="24"/>
  <c r="BQ42" i="24" s="1"/>
  <c r="BE42" i="24"/>
  <c r="BR42" i="24" s="1"/>
  <c r="BD59" i="24"/>
  <c r="BG59" i="24" s="1"/>
  <c r="BE59" i="24"/>
  <c r="BR59" i="24" s="1"/>
  <c r="BD19" i="24"/>
  <c r="BQ19" i="24" s="1"/>
  <c r="BE19" i="24"/>
  <c r="BR19" i="24" s="1"/>
  <c r="BD54" i="24"/>
  <c r="BG54" i="24" s="1"/>
  <c r="BE54" i="24"/>
  <c r="BR54" i="24" s="1"/>
  <c r="BD82" i="24"/>
  <c r="BG82" i="24" s="1"/>
  <c r="BE82" i="24"/>
  <c r="BR82" i="24" s="1"/>
  <c r="BD60" i="24"/>
  <c r="BQ60" i="24" s="1"/>
  <c r="BE60" i="24"/>
  <c r="BR60" i="24" s="1"/>
  <c r="BD29" i="24"/>
  <c r="BG29" i="24" s="1"/>
  <c r="BE29" i="24"/>
  <c r="BR29" i="24" s="1"/>
  <c r="BD18" i="24"/>
  <c r="BQ18" i="24" s="1"/>
  <c r="BE18" i="24"/>
  <c r="BR18" i="24" s="1"/>
  <c r="BD100" i="24"/>
  <c r="BQ100" i="24" s="1"/>
  <c r="BE100" i="24"/>
  <c r="BR100" i="24" s="1"/>
  <c r="BD46" i="24"/>
  <c r="BQ46" i="24" s="1"/>
  <c r="BE46" i="24"/>
  <c r="BR46" i="24" s="1"/>
  <c r="BD31" i="24"/>
  <c r="BQ31" i="24" s="1"/>
  <c r="BE31" i="24"/>
  <c r="BR31" i="24" s="1"/>
  <c r="BD41" i="24"/>
  <c r="BG41" i="24" s="1"/>
  <c r="BE41" i="24"/>
  <c r="BR41" i="24" s="1"/>
  <c r="BD83" i="24"/>
  <c r="BQ83" i="24" s="1"/>
  <c r="BE83" i="24"/>
  <c r="BR83" i="24" s="1"/>
  <c r="BD91" i="24"/>
  <c r="BG91" i="24" s="1"/>
  <c r="BE91" i="24"/>
  <c r="BR91" i="24" s="1"/>
  <c r="BD78" i="24"/>
  <c r="BG78" i="24" s="1"/>
  <c r="BE78" i="24"/>
  <c r="BR78" i="24" s="1"/>
  <c r="BD96" i="24"/>
  <c r="BG96" i="24" s="1"/>
  <c r="BE96" i="24"/>
  <c r="BR96" i="24" s="1"/>
  <c r="BD79" i="24"/>
  <c r="BG79" i="24" s="1"/>
  <c r="BE79" i="24"/>
  <c r="BR79" i="24" s="1"/>
  <c r="BD87" i="24"/>
  <c r="BG87" i="24" s="1"/>
  <c r="BE87" i="24"/>
  <c r="BR87" i="24" s="1"/>
  <c r="BD72" i="24"/>
  <c r="BQ72" i="24" s="1"/>
  <c r="BE72" i="24"/>
  <c r="BR72" i="24" s="1"/>
  <c r="BD74" i="24"/>
  <c r="BG74" i="24" s="1"/>
  <c r="BE74" i="24"/>
  <c r="BR74" i="24" s="1"/>
  <c r="BD56" i="24"/>
  <c r="BQ56" i="24" s="1"/>
  <c r="BE56" i="24"/>
  <c r="BR56" i="24" s="1"/>
  <c r="BD25" i="24"/>
  <c r="BQ25" i="24" s="1"/>
  <c r="BE25" i="24"/>
  <c r="BR25" i="24" s="1"/>
  <c r="BD70" i="24"/>
  <c r="BQ70" i="24" s="1"/>
  <c r="BE70" i="24"/>
  <c r="BR70" i="24" s="1"/>
  <c r="BD89" i="24"/>
  <c r="BG89" i="24" s="1"/>
  <c r="BE89" i="24"/>
  <c r="BR89" i="24" s="1"/>
  <c r="BD10" i="24"/>
  <c r="BQ10" i="24" s="1"/>
  <c r="BE10" i="24"/>
  <c r="BR10" i="24" s="1"/>
  <c r="BD101" i="24"/>
  <c r="BQ101" i="24" s="1"/>
  <c r="BE101" i="24"/>
  <c r="BR101" i="24" s="1"/>
  <c r="BD50" i="24"/>
  <c r="BQ50" i="24" s="1"/>
  <c r="BE50" i="24"/>
  <c r="BR50" i="24" s="1"/>
  <c r="F64" i="19"/>
  <c r="F65" i="19"/>
  <c r="BD167" i="24" l="1"/>
  <c r="BQ167" i="24" s="1"/>
  <c r="BU167" i="24" s="1"/>
  <c r="BE191" i="25"/>
  <c r="BP191" i="25"/>
  <c r="BU191" i="25" s="1"/>
  <c r="BE165" i="25"/>
  <c r="BP165" i="25"/>
  <c r="BU165" i="25" s="1"/>
  <c r="BE152" i="25"/>
  <c r="BP152" i="25"/>
  <c r="BU152" i="25" s="1"/>
  <c r="BE168" i="25"/>
  <c r="BP168" i="25"/>
  <c r="BU168" i="25" s="1"/>
  <c r="BE136" i="25"/>
  <c r="BP136" i="25"/>
  <c r="BU136" i="25" s="1"/>
  <c r="BE137" i="25"/>
  <c r="BP137" i="25"/>
  <c r="BU137" i="25" s="1"/>
  <c r="BE159" i="25"/>
  <c r="BP159" i="25"/>
  <c r="BU159" i="25" s="1"/>
  <c r="BE114" i="25"/>
  <c r="BP114" i="25"/>
  <c r="BU114" i="25" s="1"/>
  <c r="BE111" i="25"/>
  <c r="BP111" i="25"/>
  <c r="BU111" i="25" s="1"/>
  <c r="BE206" i="25"/>
  <c r="BP206" i="25"/>
  <c r="BU206" i="25" s="1"/>
  <c r="BE163" i="25"/>
  <c r="BP163" i="25"/>
  <c r="BU163" i="25" s="1"/>
  <c r="BE119" i="25"/>
  <c r="BP119" i="25"/>
  <c r="BU119" i="25" s="1"/>
  <c r="BE158" i="25"/>
  <c r="BP158" i="25"/>
  <c r="BU158" i="25" s="1"/>
  <c r="BP210" i="25"/>
  <c r="BU210" i="25" s="1"/>
  <c r="BE210" i="25"/>
  <c r="BE175" i="25"/>
  <c r="BP175" i="25"/>
  <c r="BU175" i="25" s="1"/>
  <c r="BP122" i="25"/>
  <c r="BU122" i="25" s="1"/>
  <c r="BE122" i="25"/>
  <c r="BP112" i="25"/>
  <c r="BU112" i="25" s="1"/>
  <c r="BE112" i="25"/>
  <c r="BE205" i="25"/>
  <c r="BP205" i="25"/>
  <c r="BU205" i="25" s="1"/>
  <c r="BE189" i="25"/>
  <c r="BP189" i="25"/>
  <c r="BU189" i="25" s="1"/>
  <c r="BP196" i="25"/>
  <c r="BU196" i="25" s="1"/>
  <c r="BE196" i="25"/>
  <c r="BP198" i="25"/>
  <c r="BU198" i="25" s="1"/>
  <c r="BE198" i="25"/>
  <c r="BE170" i="25"/>
  <c r="BP170" i="25"/>
  <c r="BU170" i="25" s="1"/>
  <c r="BE199" i="25"/>
  <c r="BP199" i="25"/>
  <c r="BU199" i="25" s="1"/>
  <c r="BE202" i="25"/>
  <c r="BP202" i="25"/>
  <c r="BU202" i="25" s="1"/>
  <c r="BE186" i="25"/>
  <c r="BP186" i="25"/>
  <c r="BU186" i="25" s="1"/>
  <c r="BE197" i="25"/>
  <c r="BP197" i="25"/>
  <c r="BU197" i="25" s="1"/>
  <c r="BE156" i="25"/>
  <c r="BP156" i="25"/>
  <c r="BU156" i="25" s="1"/>
  <c r="BE164" i="25"/>
  <c r="BP164" i="25"/>
  <c r="BU164" i="25" s="1"/>
  <c r="BE123" i="25"/>
  <c r="BP123" i="25"/>
  <c r="BU123" i="25" s="1"/>
  <c r="BE127" i="25"/>
  <c r="BP127" i="25"/>
  <c r="BU127" i="25" s="1"/>
  <c r="BE143" i="25"/>
  <c r="BP143" i="25"/>
  <c r="BU143" i="25" s="1"/>
  <c r="BP162" i="25"/>
  <c r="BU162" i="25" s="1"/>
  <c r="BE162" i="25"/>
  <c r="BE125" i="25"/>
  <c r="BP125" i="25"/>
  <c r="BU125" i="25" s="1"/>
  <c r="BE116" i="25"/>
  <c r="BP116" i="25"/>
  <c r="BU116" i="25" s="1"/>
  <c r="BE149" i="25"/>
  <c r="BP149" i="25"/>
  <c r="BU149" i="25" s="1"/>
  <c r="BE144" i="25"/>
  <c r="BP144" i="25"/>
  <c r="BE181" i="25"/>
  <c r="BP181" i="25"/>
  <c r="BU181" i="25" s="1"/>
  <c r="BE138" i="25"/>
  <c r="BP138" i="25"/>
  <c r="BU138" i="25" s="1"/>
  <c r="BE132" i="25"/>
  <c r="BP132" i="25"/>
  <c r="BU132" i="25" s="1"/>
  <c r="BE193" i="25"/>
  <c r="BP193" i="25"/>
  <c r="BU193" i="25" s="1"/>
  <c r="BE117" i="25"/>
  <c r="BP117" i="25"/>
  <c r="BU117" i="25" s="1"/>
  <c r="BE153" i="25"/>
  <c r="BP153" i="25"/>
  <c r="BU153" i="25" s="1"/>
  <c r="BE133" i="25"/>
  <c r="BP133" i="25"/>
  <c r="BU133" i="25" s="1"/>
  <c r="BE126" i="25"/>
  <c r="BP126" i="25"/>
  <c r="BU126" i="25" s="1"/>
  <c r="BE161" i="25"/>
  <c r="BP161" i="25"/>
  <c r="BU161" i="25" s="1"/>
  <c r="BE192" i="25"/>
  <c r="BP192" i="25"/>
  <c r="BU192" i="25" s="1"/>
  <c r="BE183" i="25"/>
  <c r="BP183" i="25"/>
  <c r="BU183" i="25" s="1"/>
  <c r="BE207" i="25"/>
  <c r="BP207" i="25"/>
  <c r="BU207" i="25" s="1"/>
  <c r="BE173" i="25"/>
  <c r="BP173" i="25"/>
  <c r="BU173" i="25" s="1"/>
  <c r="BE130" i="25"/>
  <c r="BP130" i="25"/>
  <c r="BU130" i="25" s="1"/>
  <c r="BP134" i="25"/>
  <c r="BU134" i="25" s="1"/>
  <c r="BE134" i="25"/>
  <c r="BE208" i="25"/>
  <c r="BP208" i="25"/>
  <c r="BU208" i="25" s="1"/>
  <c r="BE151" i="25"/>
  <c r="BP151" i="25"/>
  <c r="BU151" i="25" s="1"/>
  <c r="BP128" i="25"/>
  <c r="BU128" i="25" s="1"/>
  <c r="BE128" i="25"/>
  <c r="BP182" i="25"/>
  <c r="BU182" i="25" s="1"/>
  <c r="BE182" i="25"/>
  <c r="BE129" i="25"/>
  <c r="BP129" i="25"/>
  <c r="BU129" i="25" s="1"/>
  <c r="BE200" i="25"/>
  <c r="BP200" i="25"/>
  <c r="BU200" i="25" s="1"/>
  <c r="BE179" i="25"/>
  <c r="BP179" i="25"/>
  <c r="BU179" i="25" s="1"/>
  <c r="BC110" i="25"/>
  <c r="BR110" i="25" s="1"/>
  <c r="BA110" i="25"/>
  <c r="BB110" i="25"/>
  <c r="BQ110" i="25" s="1"/>
  <c r="BE148" i="25"/>
  <c r="BP148" i="25"/>
  <c r="BU148" i="25" s="1"/>
  <c r="BE121" i="25"/>
  <c r="BP121" i="25"/>
  <c r="BU121" i="25" s="1"/>
  <c r="BE115" i="25"/>
  <c r="BP115" i="25"/>
  <c r="BU115" i="25" s="1"/>
  <c r="BE178" i="25"/>
  <c r="BP178" i="25"/>
  <c r="BU178" i="25" s="1"/>
  <c r="BU144" i="25"/>
  <c r="BP131" i="25"/>
  <c r="BU131" i="25" s="1"/>
  <c r="BE131" i="25"/>
  <c r="BE146" i="25"/>
  <c r="BP146" i="25"/>
  <c r="BU146" i="25" s="1"/>
  <c r="BE118" i="25"/>
  <c r="BP118" i="25"/>
  <c r="BU118" i="25" s="1"/>
  <c r="BE139" i="25"/>
  <c r="BP139" i="25"/>
  <c r="BU139" i="25" s="1"/>
  <c r="BP120" i="25"/>
  <c r="BU120" i="25" s="1"/>
  <c r="BE120" i="25"/>
  <c r="BE209" i="25"/>
  <c r="BP209" i="25"/>
  <c r="BU209" i="25" s="1"/>
  <c r="BE150" i="25"/>
  <c r="BP150" i="25"/>
  <c r="BU150" i="25" s="1"/>
  <c r="BE113" i="25"/>
  <c r="BP113" i="25"/>
  <c r="BU113" i="25" s="1"/>
  <c r="BE177" i="25"/>
  <c r="BP177" i="25"/>
  <c r="BU177" i="25" s="1"/>
  <c r="BE169" i="25"/>
  <c r="BP169" i="25"/>
  <c r="BU169" i="25" s="1"/>
  <c r="BP203" i="25"/>
  <c r="BU203" i="25" s="1"/>
  <c r="BE203" i="25"/>
  <c r="BE167" i="25"/>
  <c r="BP167" i="25"/>
  <c r="BU167" i="25" s="1"/>
  <c r="BE135" i="25"/>
  <c r="BP135" i="25"/>
  <c r="BU135" i="25" s="1"/>
  <c r="BE187" i="25"/>
  <c r="BP187" i="25"/>
  <c r="BU187" i="25" s="1"/>
  <c r="BE172" i="25"/>
  <c r="BP172" i="25"/>
  <c r="BU172" i="25" s="1"/>
  <c r="BP176" i="25"/>
  <c r="BU176" i="25" s="1"/>
  <c r="BE176" i="25"/>
  <c r="BP140" i="25"/>
  <c r="BU140" i="25" s="1"/>
  <c r="BE140" i="25"/>
  <c r="BP124" i="25"/>
  <c r="BU124" i="25" s="1"/>
  <c r="BE124" i="25"/>
  <c r="BP147" i="25"/>
  <c r="BU147" i="25" s="1"/>
  <c r="BE147" i="25"/>
  <c r="BE194" i="25"/>
  <c r="BP194" i="25"/>
  <c r="BU194" i="25" s="1"/>
  <c r="BE160" i="25"/>
  <c r="BJ160" i="25" s="1"/>
  <c r="BP160" i="25"/>
  <c r="BU160" i="25" s="1"/>
  <c r="BE155" i="25"/>
  <c r="BP155" i="25"/>
  <c r="BU155" i="25" s="1"/>
  <c r="BP157" i="25"/>
  <c r="BU157" i="25" s="1"/>
  <c r="BE157" i="25"/>
  <c r="BP154" i="25"/>
  <c r="BU154" i="25" s="1"/>
  <c r="BE154" i="25"/>
  <c r="BE190" i="25"/>
  <c r="BP190" i="25"/>
  <c r="BU190" i="25" s="1"/>
  <c r="BE188" i="25"/>
  <c r="BP188" i="25"/>
  <c r="BU188" i="25" s="1"/>
  <c r="BE195" i="25"/>
  <c r="BP195" i="25"/>
  <c r="BU195" i="25" s="1"/>
  <c r="BP174" i="25"/>
  <c r="BU174" i="25" s="1"/>
  <c r="BE174" i="25"/>
  <c r="BP204" i="25"/>
  <c r="BU204" i="25" s="1"/>
  <c r="BE204" i="25"/>
  <c r="BE171" i="25"/>
  <c r="BP171" i="25"/>
  <c r="BU171" i="25" s="1"/>
  <c r="BP180" i="25"/>
  <c r="BU180" i="25" s="1"/>
  <c r="BE180" i="25"/>
  <c r="BE201" i="25"/>
  <c r="BP201" i="25"/>
  <c r="BU201" i="25" s="1"/>
  <c r="BE145" i="25"/>
  <c r="BP145" i="25"/>
  <c r="BU145" i="25" s="1"/>
  <c r="BE142" i="25"/>
  <c r="BP142" i="25"/>
  <c r="BU142" i="25" s="1"/>
  <c r="BP141" i="25"/>
  <c r="BU141" i="25" s="1"/>
  <c r="BE141" i="25"/>
  <c r="BE184" i="25"/>
  <c r="BP184" i="25"/>
  <c r="BU184" i="25" s="1"/>
  <c r="BE185" i="25"/>
  <c r="BP185" i="25"/>
  <c r="BU185" i="25" s="1"/>
  <c r="BE166" i="25"/>
  <c r="BP166" i="25"/>
  <c r="BU166" i="25" s="1"/>
  <c r="AY115" i="24"/>
  <c r="AZ115" i="24" s="1"/>
  <c r="AY167" i="24"/>
  <c r="AZ167" i="24" s="1"/>
  <c r="BD115" i="24"/>
  <c r="BQ115" i="24" s="1"/>
  <c r="BU115" i="24" s="1"/>
  <c r="AY165" i="24"/>
  <c r="AZ165" i="24" s="1"/>
  <c r="BD165" i="24"/>
  <c r="BG165" i="24" s="1"/>
  <c r="BE194" i="24"/>
  <c r="BR194" i="24" s="1"/>
  <c r="AY194" i="24"/>
  <c r="AZ194" i="24" s="1"/>
  <c r="BD194" i="24"/>
  <c r="BD141" i="24"/>
  <c r="BE141" i="24"/>
  <c r="BR141" i="24" s="1"/>
  <c r="AY141" i="24"/>
  <c r="AZ141" i="24" s="1"/>
  <c r="BD199" i="24"/>
  <c r="AY199" i="24"/>
  <c r="AZ199" i="24" s="1"/>
  <c r="BE199" i="24"/>
  <c r="BR199" i="24" s="1"/>
  <c r="BE112" i="24"/>
  <c r="BR112" i="24" s="1"/>
  <c r="AY112" i="24"/>
  <c r="AZ112" i="24" s="1"/>
  <c r="BD112" i="24"/>
  <c r="BD203" i="24"/>
  <c r="AY203" i="24"/>
  <c r="AZ203" i="24" s="1"/>
  <c r="BE203" i="24"/>
  <c r="BR203" i="24" s="1"/>
  <c r="AY193" i="24"/>
  <c r="AZ193" i="24" s="1"/>
  <c r="BE193" i="24"/>
  <c r="BR193" i="24" s="1"/>
  <c r="BD193" i="24"/>
  <c r="BQ144" i="24"/>
  <c r="BU144" i="24" s="1"/>
  <c r="BG144" i="24"/>
  <c r="BQ127" i="24"/>
  <c r="BU127" i="24" s="1"/>
  <c r="BG127" i="24"/>
  <c r="BQ152" i="24"/>
  <c r="BU152" i="24" s="1"/>
  <c r="BG152" i="24"/>
  <c r="BQ147" i="24"/>
  <c r="BU147" i="24" s="1"/>
  <c r="BG147" i="24"/>
  <c r="BQ187" i="24"/>
  <c r="BU187" i="24" s="1"/>
  <c r="BG187" i="24"/>
  <c r="BQ128" i="24"/>
  <c r="BU128" i="24" s="1"/>
  <c r="BG128" i="24"/>
  <c r="BQ163" i="24"/>
  <c r="BU163" i="24" s="1"/>
  <c r="BG163" i="24"/>
  <c r="BQ131" i="24"/>
  <c r="BU131" i="24" s="1"/>
  <c r="BG131" i="24"/>
  <c r="BQ151" i="24"/>
  <c r="BU151" i="24" s="1"/>
  <c r="BG151" i="24"/>
  <c r="BQ158" i="24"/>
  <c r="BU158" i="24" s="1"/>
  <c r="BG158" i="24"/>
  <c r="BG200" i="24"/>
  <c r="BQ200" i="24"/>
  <c r="BU200" i="24" s="1"/>
  <c r="BQ116" i="24"/>
  <c r="BU116" i="24" s="1"/>
  <c r="BG116" i="24"/>
  <c r="BD172" i="24"/>
  <c r="AY172" i="24"/>
  <c r="AZ172" i="24" s="1"/>
  <c r="BE172" i="24"/>
  <c r="BR172" i="24" s="1"/>
  <c r="BE149" i="24"/>
  <c r="BR149" i="24" s="1"/>
  <c r="BD149" i="24"/>
  <c r="AY149" i="24"/>
  <c r="AZ149" i="24" s="1"/>
  <c r="BE119" i="24"/>
  <c r="BR119" i="24" s="1"/>
  <c r="BD119" i="24"/>
  <c r="AY119" i="24"/>
  <c r="AZ119" i="24" s="1"/>
  <c r="AY123" i="24"/>
  <c r="AZ123" i="24" s="1"/>
  <c r="BD123" i="24"/>
  <c r="BE123" i="24"/>
  <c r="BR123" i="24" s="1"/>
  <c r="BE136" i="24"/>
  <c r="BR136" i="24" s="1"/>
  <c r="BD136" i="24"/>
  <c r="AY136" i="24"/>
  <c r="AZ136" i="24" s="1"/>
  <c r="BE156" i="24"/>
  <c r="BR156" i="24" s="1"/>
  <c r="BD156" i="24"/>
  <c r="AY156" i="24"/>
  <c r="AZ156" i="24" s="1"/>
  <c r="BD188" i="24"/>
  <c r="AY188" i="24"/>
  <c r="AZ188" i="24" s="1"/>
  <c r="BE188" i="24"/>
  <c r="BR188" i="24" s="1"/>
  <c r="AY206" i="24"/>
  <c r="AZ206" i="24" s="1"/>
  <c r="BD206" i="24"/>
  <c r="BE206" i="24"/>
  <c r="BR206" i="24" s="1"/>
  <c r="AY181" i="24"/>
  <c r="AZ181" i="24" s="1"/>
  <c r="BD181" i="24"/>
  <c r="BE181" i="24"/>
  <c r="BR181" i="24" s="1"/>
  <c r="BE159" i="24"/>
  <c r="BR159" i="24" s="1"/>
  <c r="AY159" i="24"/>
  <c r="AZ159" i="24" s="1"/>
  <c r="BD159" i="24"/>
  <c r="BE191" i="24"/>
  <c r="BR191" i="24" s="1"/>
  <c r="BD191" i="24"/>
  <c r="AY191" i="24"/>
  <c r="AZ191" i="24" s="1"/>
  <c r="BG170" i="24"/>
  <c r="BQ170" i="24"/>
  <c r="BU170" i="24" s="1"/>
  <c r="BG157" i="24"/>
  <c r="BQ157" i="24"/>
  <c r="BU157" i="24" s="1"/>
  <c r="BQ126" i="24"/>
  <c r="BU126" i="24" s="1"/>
  <c r="BG126" i="24"/>
  <c r="BG186" i="24"/>
  <c r="BL186" i="24" s="1"/>
  <c r="BQ186" i="24"/>
  <c r="BQ129" i="24"/>
  <c r="BU129" i="24" s="1"/>
  <c r="BG129" i="24"/>
  <c r="BQ138" i="24"/>
  <c r="BU138" i="24" s="1"/>
  <c r="BG138" i="24"/>
  <c r="BQ164" i="24"/>
  <c r="BU164" i="24" s="1"/>
  <c r="BG164" i="24"/>
  <c r="BQ184" i="24"/>
  <c r="BU184" i="24" s="1"/>
  <c r="BG184" i="24"/>
  <c r="BQ135" i="24"/>
  <c r="BU135" i="24" s="1"/>
  <c r="BG135" i="24"/>
  <c r="BQ205" i="24"/>
  <c r="BU205" i="24" s="1"/>
  <c r="BG205" i="24"/>
  <c r="BG185" i="24"/>
  <c r="BL185" i="24" s="1"/>
  <c r="BQ185" i="24"/>
  <c r="BQ133" i="24"/>
  <c r="BU133" i="24" s="1"/>
  <c r="BG133" i="24"/>
  <c r="BD134" i="24"/>
  <c r="BE134" i="24"/>
  <c r="BR134" i="24" s="1"/>
  <c r="AY134" i="24"/>
  <c r="AZ134" i="24" s="1"/>
  <c r="AY169" i="24"/>
  <c r="AZ169" i="24" s="1"/>
  <c r="BE169" i="24"/>
  <c r="BR169" i="24" s="1"/>
  <c r="BD169" i="24"/>
  <c r="AY210" i="24"/>
  <c r="AZ210" i="24" s="1"/>
  <c r="BD210" i="24"/>
  <c r="BE210" i="24"/>
  <c r="BR210" i="24" s="1"/>
  <c r="AY208" i="24"/>
  <c r="AZ208" i="24" s="1"/>
  <c r="BE208" i="24"/>
  <c r="BR208" i="24" s="1"/>
  <c r="BD208" i="24"/>
  <c r="AY195" i="24"/>
  <c r="AZ195" i="24" s="1"/>
  <c r="BD195" i="24"/>
  <c r="BE195" i="24"/>
  <c r="BR195" i="24" s="1"/>
  <c r="BE209" i="24"/>
  <c r="BR209" i="24" s="1"/>
  <c r="BD209" i="24"/>
  <c r="AY209" i="24"/>
  <c r="AZ209" i="24" s="1"/>
  <c r="BD176" i="24"/>
  <c r="AY176" i="24"/>
  <c r="AZ176" i="24" s="1"/>
  <c r="BE176" i="24"/>
  <c r="BR176" i="24" s="1"/>
  <c r="BD182" i="24"/>
  <c r="AY182" i="24"/>
  <c r="AZ182" i="24" s="1"/>
  <c r="BE182" i="24"/>
  <c r="BR182" i="24" s="1"/>
  <c r="BQ150" i="24"/>
  <c r="BU150" i="24" s="1"/>
  <c r="BG150" i="24"/>
  <c r="BG196" i="24"/>
  <c r="BQ196" i="24"/>
  <c r="BU196" i="24" s="1"/>
  <c r="BQ140" i="24"/>
  <c r="BU140" i="24" s="1"/>
  <c r="BG140" i="24"/>
  <c r="BG201" i="24"/>
  <c r="BQ201" i="24"/>
  <c r="BU201" i="24" s="1"/>
  <c r="BQ113" i="24"/>
  <c r="BU113" i="24" s="1"/>
  <c r="BG113" i="24"/>
  <c r="BQ173" i="24"/>
  <c r="BU173" i="24" s="1"/>
  <c r="BG173" i="24"/>
  <c r="BQ197" i="24"/>
  <c r="BU197" i="24" s="1"/>
  <c r="BG197" i="24"/>
  <c r="BQ121" i="24"/>
  <c r="BU121" i="24" s="1"/>
  <c r="BG121" i="24"/>
  <c r="BQ171" i="24"/>
  <c r="BU171" i="24" s="1"/>
  <c r="BG171" i="24"/>
  <c r="BG178" i="24"/>
  <c r="BQ178" i="24"/>
  <c r="BU178" i="24" s="1"/>
  <c r="BQ177" i="24"/>
  <c r="BU177" i="24" s="1"/>
  <c r="BG177" i="24"/>
  <c r="BQ153" i="24"/>
  <c r="BU153" i="24" s="1"/>
  <c r="BG153" i="24"/>
  <c r="BQ166" i="24"/>
  <c r="BU166" i="24" s="1"/>
  <c r="BG166" i="24"/>
  <c r="BQ148" i="24"/>
  <c r="BU148" i="24" s="1"/>
  <c r="BG148" i="24"/>
  <c r="BQ179" i="24"/>
  <c r="BU179" i="24" s="1"/>
  <c r="BG179" i="24"/>
  <c r="BQ162" i="24"/>
  <c r="BU162" i="24" s="1"/>
  <c r="BG162" i="24"/>
  <c r="BQ132" i="24"/>
  <c r="BU132" i="24" s="1"/>
  <c r="BG132" i="24"/>
  <c r="BQ204" i="24"/>
  <c r="BU204" i="24" s="1"/>
  <c r="BG204" i="24"/>
  <c r="BQ124" i="24"/>
  <c r="BU124" i="24" s="1"/>
  <c r="BG124" i="24"/>
  <c r="BQ183" i="24"/>
  <c r="BU183" i="24" s="1"/>
  <c r="BG183" i="24"/>
  <c r="BQ175" i="24"/>
  <c r="BU175" i="24" s="1"/>
  <c r="BG175" i="24"/>
  <c r="BQ154" i="24"/>
  <c r="BU154" i="24" s="1"/>
  <c r="BG154" i="24"/>
  <c r="BQ145" i="24"/>
  <c r="BU145" i="24" s="1"/>
  <c r="BG145" i="24"/>
  <c r="BQ120" i="24"/>
  <c r="BU120" i="24" s="1"/>
  <c r="BG120" i="24"/>
  <c r="AY161" i="24"/>
  <c r="AZ161" i="24" s="1"/>
  <c r="BE161" i="24"/>
  <c r="BR161" i="24" s="1"/>
  <c r="BD161" i="24"/>
  <c r="BD168" i="24"/>
  <c r="AY168" i="24"/>
  <c r="AZ168" i="24" s="1"/>
  <c r="BE168" i="24"/>
  <c r="BR168" i="24" s="1"/>
  <c r="BE130" i="24"/>
  <c r="BR130" i="24" s="1"/>
  <c r="BD130" i="24"/>
  <c r="AY130" i="24"/>
  <c r="AZ130" i="24" s="1"/>
  <c r="BD189" i="24"/>
  <c r="BE189" i="24"/>
  <c r="BR189" i="24" s="1"/>
  <c r="AY189" i="24"/>
  <c r="AZ189" i="24" s="1"/>
  <c r="BQ146" i="24"/>
  <c r="BU146" i="24" s="1"/>
  <c r="BG146" i="24"/>
  <c r="BQ142" i="24"/>
  <c r="BU142" i="24" s="1"/>
  <c r="BG142" i="24"/>
  <c r="AY155" i="24"/>
  <c r="AZ155" i="24" s="1"/>
  <c r="BD155" i="24"/>
  <c r="BE155" i="24"/>
  <c r="BR155" i="24" s="1"/>
  <c r="BD192" i="24"/>
  <c r="AY192" i="24"/>
  <c r="AZ192" i="24" s="1"/>
  <c r="BE192" i="24"/>
  <c r="BR192" i="24" s="1"/>
  <c r="AY110" i="24"/>
  <c r="AZ110" i="24" s="1"/>
  <c r="BD110" i="24"/>
  <c r="BE110" i="24"/>
  <c r="BR110" i="24" s="1"/>
  <c r="BD114" i="24"/>
  <c r="BE114" i="24"/>
  <c r="BR114" i="24" s="1"/>
  <c r="AY114" i="24"/>
  <c r="AZ114" i="24" s="1"/>
  <c r="BQ198" i="24"/>
  <c r="BU198" i="24" s="1"/>
  <c r="BG198" i="24"/>
  <c r="BG174" i="24"/>
  <c r="BQ174" i="24"/>
  <c r="BU174" i="24" s="1"/>
  <c r="BQ202" i="24"/>
  <c r="BU202" i="24" s="1"/>
  <c r="BG202" i="24"/>
  <c r="BQ125" i="24"/>
  <c r="BU125" i="24" s="1"/>
  <c r="BG125" i="24"/>
  <c r="BQ137" i="24"/>
  <c r="BU137" i="24" s="1"/>
  <c r="BG137" i="24"/>
  <c r="BQ190" i="24"/>
  <c r="BG190" i="24"/>
  <c r="BL190" i="24" s="1"/>
  <c r="BQ180" i="24"/>
  <c r="BU180" i="24" s="1"/>
  <c r="BG180" i="24"/>
  <c r="BQ160" i="24"/>
  <c r="BU160" i="24" s="1"/>
  <c r="BG160" i="24"/>
  <c r="BQ143" i="24"/>
  <c r="BU143" i="24" s="1"/>
  <c r="BG143" i="24"/>
  <c r="BQ111" i="24"/>
  <c r="BU111" i="24" s="1"/>
  <c r="BG111" i="24"/>
  <c r="BQ117" i="24"/>
  <c r="BU117" i="24" s="1"/>
  <c r="BG117" i="24"/>
  <c r="BQ207" i="24"/>
  <c r="BU207" i="24" s="1"/>
  <c r="BG207" i="24"/>
  <c r="BQ118" i="24"/>
  <c r="BU118" i="24" s="1"/>
  <c r="BG118" i="24"/>
  <c r="BQ139" i="24"/>
  <c r="BU139" i="24" s="1"/>
  <c r="BG139" i="24"/>
  <c r="BQ122" i="24"/>
  <c r="BU122" i="24" s="1"/>
  <c r="BG122" i="24"/>
  <c r="BE58" i="25"/>
  <c r="BV58" i="25" s="1"/>
  <c r="BX58" i="25" s="1"/>
  <c r="BY58" i="25" s="1"/>
  <c r="AZ88" i="24"/>
  <c r="AZ49" i="24"/>
  <c r="BD73" i="24"/>
  <c r="BQ73" i="24" s="1"/>
  <c r="BE73" i="24"/>
  <c r="BR73" i="24" s="1"/>
  <c r="BE33" i="24"/>
  <c r="BR33" i="24" s="1"/>
  <c r="BD33" i="24"/>
  <c r="BG33" i="24" s="1"/>
  <c r="BL33" i="24" s="1"/>
  <c r="BD86" i="24"/>
  <c r="BG86" i="24" s="1"/>
  <c r="BL86" i="24" s="1"/>
  <c r="BE43" i="24"/>
  <c r="BR43" i="24" s="1"/>
  <c r="BQ104" i="24"/>
  <c r="BV104" i="24" s="1"/>
  <c r="BX104" i="24" s="1"/>
  <c r="BY104" i="24" s="1"/>
  <c r="BE51" i="24"/>
  <c r="BR51" i="24" s="1"/>
  <c r="BD51" i="24"/>
  <c r="BQ51" i="24" s="1"/>
  <c r="BE27" i="24"/>
  <c r="BR27" i="24" s="1"/>
  <c r="BD43" i="24"/>
  <c r="BQ43" i="24" s="1"/>
  <c r="BD97" i="24"/>
  <c r="BG97" i="24" s="1"/>
  <c r="BL97" i="24" s="1"/>
  <c r="BB105" i="24"/>
  <c r="B118" i="2" s="1"/>
  <c r="B119" i="2" s="1"/>
  <c r="E16" i="1" s="1"/>
  <c r="BE86" i="24"/>
  <c r="BR86" i="24" s="1"/>
  <c r="BE23" i="24"/>
  <c r="BR23" i="24" s="1"/>
  <c r="BD23" i="24"/>
  <c r="BG23" i="24" s="1"/>
  <c r="BL23" i="24" s="1"/>
  <c r="BD64" i="24"/>
  <c r="BG64" i="24" s="1"/>
  <c r="BL64" i="24" s="1"/>
  <c r="BE97" i="24"/>
  <c r="BR97" i="24" s="1"/>
  <c r="BE64" i="24"/>
  <c r="BR64" i="24" s="1"/>
  <c r="BE49" i="24"/>
  <c r="BR49" i="24" s="1"/>
  <c r="BD27" i="24"/>
  <c r="BG27" i="24" s="1"/>
  <c r="BL27" i="24" s="1"/>
  <c r="AU49" i="24"/>
  <c r="BB49" i="24" s="1"/>
  <c r="BD49" i="24"/>
  <c r="BG49" i="24" s="1"/>
  <c r="BL49" i="24" s="1"/>
  <c r="BG69" i="24"/>
  <c r="BV69" i="24" s="1"/>
  <c r="BX69" i="24" s="1"/>
  <c r="BY69" i="24" s="1"/>
  <c r="BD81" i="24"/>
  <c r="BQ81" i="24" s="1"/>
  <c r="BE88" i="24"/>
  <c r="BR88" i="24" s="1"/>
  <c r="AU88" i="24"/>
  <c r="BB88" i="24" s="1"/>
  <c r="BD65" i="24"/>
  <c r="BG65" i="24" s="1"/>
  <c r="BL65" i="24" s="1"/>
  <c r="BE65" i="24"/>
  <c r="BR65" i="24" s="1"/>
  <c r="BD88" i="24"/>
  <c r="BG88" i="24" s="1"/>
  <c r="BL88" i="24" s="1"/>
  <c r="BE22" i="24"/>
  <c r="BR22" i="24" s="1"/>
  <c r="BU69" i="24"/>
  <c r="BD35" i="24"/>
  <c r="BQ35" i="24" s="1"/>
  <c r="BE81" i="24"/>
  <c r="BR81" i="24" s="1"/>
  <c r="BE35" i="24"/>
  <c r="BR35" i="24" s="1"/>
  <c r="BQ34" i="24"/>
  <c r="BU34" i="24" s="1"/>
  <c r="AW71" i="24"/>
  <c r="AU71" i="24"/>
  <c r="BB71" i="24" s="1"/>
  <c r="AU13" i="24"/>
  <c r="BB13" i="24" s="1"/>
  <c r="AW13" i="24"/>
  <c r="BD22" i="24"/>
  <c r="BG22" i="24" s="1"/>
  <c r="BL22" i="24" s="1"/>
  <c r="BV5" i="24"/>
  <c r="BX5" i="24" s="1"/>
  <c r="BY5" i="24" s="1"/>
  <c r="AU15" i="24"/>
  <c r="BB15" i="24" s="1"/>
  <c r="AW15" i="24"/>
  <c r="AW102" i="24"/>
  <c r="AU102" i="24"/>
  <c r="BB102" i="24" s="1"/>
  <c r="AU48" i="24"/>
  <c r="BB48" i="24" s="1"/>
  <c r="AW48" i="24"/>
  <c r="AU93" i="24"/>
  <c r="BB93" i="24" s="1"/>
  <c r="AW93" i="24"/>
  <c r="AU94" i="24"/>
  <c r="BB94" i="24" s="1"/>
  <c r="AW94" i="24"/>
  <c r="AW37" i="24"/>
  <c r="AU37" i="24"/>
  <c r="BB37" i="24" s="1"/>
  <c r="AW8" i="24"/>
  <c r="AU8" i="24"/>
  <c r="BB8" i="24" s="1"/>
  <c r="AU44" i="24"/>
  <c r="BB44" i="24" s="1"/>
  <c r="AW44" i="24"/>
  <c r="AU77" i="24"/>
  <c r="BB77" i="24" s="1"/>
  <c r="AW77" i="24"/>
  <c r="AW80" i="24"/>
  <c r="AU80" i="24"/>
  <c r="BB80" i="24" s="1"/>
  <c r="AU38" i="24"/>
  <c r="BB38" i="24" s="1"/>
  <c r="AW38" i="24"/>
  <c r="AU24" i="24"/>
  <c r="BB24" i="24" s="1"/>
  <c r="AW24" i="24"/>
  <c r="AU45" i="24"/>
  <c r="BB45" i="24" s="1"/>
  <c r="AW45" i="24"/>
  <c r="AU103" i="24"/>
  <c r="BB103" i="24" s="1"/>
  <c r="AW103" i="24"/>
  <c r="AW47" i="24"/>
  <c r="AU47" i="24"/>
  <c r="BB47" i="24" s="1"/>
  <c r="AW66" i="24"/>
  <c r="AU66" i="24"/>
  <c r="BB66" i="24" s="1"/>
  <c r="AW62" i="24"/>
  <c r="AU62" i="24"/>
  <c r="BB62" i="24" s="1"/>
  <c r="AW30" i="24"/>
  <c r="AU30" i="24"/>
  <c r="BB30" i="24" s="1"/>
  <c r="AU99" i="24"/>
  <c r="BB99" i="24" s="1"/>
  <c r="AW99" i="24"/>
  <c r="AU75" i="24"/>
  <c r="BB75" i="24" s="1"/>
  <c r="AW75" i="24"/>
  <c r="AW61" i="24"/>
  <c r="AU61" i="24"/>
  <c r="BB61" i="24" s="1"/>
  <c r="AW20" i="24"/>
  <c r="AU20" i="24"/>
  <c r="BB20" i="24" s="1"/>
  <c r="AU90" i="24"/>
  <c r="BB90" i="24" s="1"/>
  <c r="AW90" i="24"/>
  <c r="AU52" i="24"/>
  <c r="BB52" i="24" s="1"/>
  <c r="AW52" i="24"/>
  <c r="AW39" i="24"/>
  <c r="AU39" i="24"/>
  <c r="BB39" i="24" s="1"/>
  <c r="AW26" i="24"/>
  <c r="AU26" i="24"/>
  <c r="BB26" i="24" s="1"/>
  <c r="AU9" i="24"/>
  <c r="BB9" i="24" s="1"/>
  <c r="AW9" i="24"/>
  <c r="AU84" i="24"/>
  <c r="BB84" i="24" s="1"/>
  <c r="AW84" i="24"/>
  <c r="AW58" i="24"/>
  <c r="AU58" i="24"/>
  <c r="BB58" i="24" s="1"/>
  <c r="AU57" i="24"/>
  <c r="BB57" i="24" s="1"/>
  <c r="AW57" i="24"/>
  <c r="AU17" i="24"/>
  <c r="BB17" i="24" s="1"/>
  <c r="AW17" i="24"/>
  <c r="AU76" i="24"/>
  <c r="BB76" i="24" s="1"/>
  <c r="AW76" i="24"/>
  <c r="AU11" i="24"/>
  <c r="BB11" i="24" s="1"/>
  <c r="AW11" i="24"/>
  <c r="AU67" i="24"/>
  <c r="BB67" i="24" s="1"/>
  <c r="AW67" i="24"/>
  <c r="AU12" i="24"/>
  <c r="BB12" i="24" s="1"/>
  <c r="AW12" i="24"/>
  <c r="AU98" i="24"/>
  <c r="BB98" i="24" s="1"/>
  <c r="AW98" i="24"/>
  <c r="AU16" i="24"/>
  <c r="BB16" i="24" s="1"/>
  <c r="AW16" i="24"/>
  <c r="AU6" i="24"/>
  <c r="BB6" i="24" s="1"/>
  <c r="AW6" i="24"/>
  <c r="AW7" i="24"/>
  <c r="AU7" i="24"/>
  <c r="BB7" i="24" s="1"/>
  <c r="BQ22" i="24"/>
  <c r="BA5" i="25"/>
  <c r="BC5" i="25"/>
  <c r="BR5" i="25" s="1"/>
  <c r="BB5" i="25"/>
  <c r="BQ40" i="24"/>
  <c r="BU40" i="24" s="1"/>
  <c r="BP95" i="25"/>
  <c r="BP85" i="25"/>
  <c r="BP18" i="25"/>
  <c r="BE90" i="25"/>
  <c r="BJ90" i="25" s="1"/>
  <c r="BE98" i="25"/>
  <c r="BJ98" i="25" s="1"/>
  <c r="BE55" i="25"/>
  <c r="BJ55" i="25" s="1"/>
  <c r="BE33" i="25"/>
  <c r="BJ33" i="25" s="1"/>
  <c r="BE65" i="25"/>
  <c r="BJ65" i="25" s="1"/>
  <c r="BE60" i="25"/>
  <c r="BJ60" i="25" s="1"/>
  <c r="BU58" i="25"/>
  <c r="BQ52" i="25"/>
  <c r="BQ74" i="25"/>
  <c r="BQ27" i="25"/>
  <c r="BQ42" i="25"/>
  <c r="BQ102" i="25"/>
  <c r="BQ77" i="25"/>
  <c r="BQ26" i="25"/>
  <c r="BQ105" i="25"/>
  <c r="BQ39" i="25"/>
  <c r="BQ60" i="25"/>
  <c r="BQ98" i="25"/>
  <c r="BQ92" i="25"/>
  <c r="BQ94" i="25"/>
  <c r="BQ91" i="25"/>
  <c r="BQ67" i="25"/>
  <c r="BQ64" i="25"/>
  <c r="BQ41" i="25"/>
  <c r="BQ79" i="25"/>
  <c r="BQ76" i="25"/>
  <c r="BQ11" i="25"/>
  <c r="BQ104" i="25"/>
  <c r="BQ96" i="25"/>
  <c r="BQ24" i="25"/>
  <c r="BQ51" i="25"/>
  <c r="BQ47" i="25"/>
  <c r="BQ46" i="25"/>
  <c r="BQ8" i="25"/>
  <c r="BQ50" i="25"/>
  <c r="BQ49" i="25"/>
  <c r="BQ56" i="25"/>
  <c r="BQ34" i="25"/>
  <c r="BQ70" i="25"/>
  <c r="BQ18" i="25"/>
  <c r="BQ65" i="25"/>
  <c r="BQ57" i="25"/>
  <c r="BQ66" i="25"/>
  <c r="BQ43" i="25"/>
  <c r="BQ84" i="25"/>
  <c r="BQ13" i="25"/>
  <c r="BQ35" i="25"/>
  <c r="BQ36" i="25"/>
  <c r="BQ25" i="25"/>
  <c r="BQ63" i="25"/>
  <c r="BQ28" i="25"/>
  <c r="BQ40" i="25"/>
  <c r="BQ37" i="25"/>
  <c r="BQ33" i="25"/>
  <c r="BQ10" i="25"/>
  <c r="BQ20" i="25"/>
  <c r="BQ97" i="25"/>
  <c r="BQ45" i="25"/>
  <c r="BQ82" i="25"/>
  <c r="BQ61" i="25"/>
  <c r="BQ69" i="25"/>
  <c r="BQ75" i="25"/>
  <c r="BQ80" i="25"/>
  <c r="BQ83" i="25"/>
  <c r="BQ93" i="25"/>
  <c r="BQ78" i="25"/>
  <c r="BQ100" i="25"/>
  <c r="BQ103" i="25"/>
  <c r="BQ88" i="25"/>
  <c r="BQ71" i="25"/>
  <c r="BQ48" i="25"/>
  <c r="BQ86" i="25"/>
  <c r="BQ81" i="25"/>
  <c r="BQ90" i="25"/>
  <c r="BQ95" i="25"/>
  <c r="BQ23" i="25"/>
  <c r="BQ14" i="25"/>
  <c r="BQ68" i="25"/>
  <c r="BQ9" i="25"/>
  <c r="BQ62" i="25"/>
  <c r="BQ87" i="25"/>
  <c r="BQ30" i="25"/>
  <c r="BQ53" i="25"/>
  <c r="BQ17" i="25"/>
  <c r="BQ19" i="25"/>
  <c r="BQ44" i="25"/>
  <c r="BQ12" i="25"/>
  <c r="BQ72" i="25"/>
  <c r="BQ15" i="25"/>
  <c r="BQ16" i="25"/>
  <c r="BQ59" i="25"/>
  <c r="BQ38" i="25"/>
  <c r="BQ31" i="25"/>
  <c r="BQ22" i="25"/>
  <c r="BQ101" i="25"/>
  <c r="BQ29" i="25"/>
  <c r="BQ54" i="25"/>
  <c r="BQ89" i="25"/>
  <c r="BQ21" i="25"/>
  <c r="BQ55" i="25"/>
  <c r="BQ32" i="25"/>
  <c r="BQ99" i="25"/>
  <c r="BQ73" i="25"/>
  <c r="BQ85" i="25"/>
  <c r="BQ7" i="25"/>
  <c r="BQ6" i="25"/>
  <c r="BE43" i="25"/>
  <c r="BJ43" i="25" s="1"/>
  <c r="BP57" i="25"/>
  <c r="BE73" i="25"/>
  <c r="BJ73" i="25" s="1"/>
  <c r="BP66" i="25"/>
  <c r="BP84" i="25"/>
  <c r="BE32" i="25"/>
  <c r="BE99" i="25"/>
  <c r="BJ99" i="25" s="1"/>
  <c r="BJ66" i="25"/>
  <c r="BP45" i="25"/>
  <c r="BE45" i="25"/>
  <c r="BP23" i="25"/>
  <c r="BE23" i="25"/>
  <c r="BP36" i="25"/>
  <c r="BE36" i="25"/>
  <c r="BE6" i="25"/>
  <c r="BP6" i="25"/>
  <c r="BP21" i="25"/>
  <c r="BE21" i="25"/>
  <c r="BP92" i="25"/>
  <c r="BE92" i="25"/>
  <c r="BP94" i="25"/>
  <c r="BE94" i="25"/>
  <c r="BP91" i="25"/>
  <c r="BE91" i="25"/>
  <c r="BP67" i="25"/>
  <c r="BE67" i="25"/>
  <c r="BP19" i="25"/>
  <c r="BE19" i="25"/>
  <c r="BP64" i="25"/>
  <c r="BE64" i="25"/>
  <c r="BP15" i="25"/>
  <c r="BE15" i="25"/>
  <c r="BP59" i="25"/>
  <c r="BE59" i="25"/>
  <c r="BP38" i="25"/>
  <c r="BE38" i="25"/>
  <c r="BP104" i="25"/>
  <c r="BE104" i="25"/>
  <c r="BP96" i="25"/>
  <c r="BE96" i="25"/>
  <c r="BP24" i="25"/>
  <c r="BE24" i="25"/>
  <c r="BP46" i="25"/>
  <c r="BE46" i="25"/>
  <c r="BP8" i="25"/>
  <c r="BE8" i="25"/>
  <c r="BP54" i="25"/>
  <c r="BE54" i="25"/>
  <c r="BP89" i="25"/>
  <c r="BE89" i="25"/>
  <c r="BP86" i="25"/>
  <c r="BE86" i="25"/>
  <c r="BP81" i="25"/>
  <c r="BE81" i="25"/>
  <c r="BP52" i="25"/>
  <c r="BE52" i="25"/>
  <c r="BP13" i="25"/>
  <c r="BE13" i="25"/>
  <c r="BP20" i="25"/>
  <c r="BE20" i="25"/>
  <c r="BP97" i="25"/>
  <c r="BE97" i="25"/>
  <c r="BP74" i="25"/>
  <c r="BE74" i="25"/>
  <c r="BP35" i="25"/>
  <c r="BE35" i="25"/>
  <c r="BP61" i="25"/>
  <c r="BE61" i="25"/>
  <c r="BP69" i="25"/>
  <c r="BE69" i="25"/>
  <c r="BP75" i="25"/>
  <c r="BE75" i="25"/>
  <c r="BP80" i="25"/>
  <c r="BE80" i="25"/>
  <c r="BP83" i="25"/>
  <c r="BE83" i="25"/>
  <c r="BP25" i="25"/>
  <c r="BE25" i="25"/>
  <c r="BP68" i="25"/>
  <c r="BE68" i="25"/>
  <c r="BP77" i="25"/>
  <c r="BE77" i="25"/>
  <c r="BP63" i="25"/>
  <c r="BE63" i="25"/>
  <c r="BE9" i="25"/>
  <c r="BP9" i="25"/>
  <c r="BP28" i="25"/>
  <c r="BE28" i="25"/>
  <c r="BP26" i="25"/>
  <c r="BE26" i="25"/>
  <c r="BP62" i="25"/>
  <c r="BE62" i="25"/>
  <c r="BP105" i="25"/>
  <c r="BE105" i="25"/>
  <c r="BJ57" i="25"/>
  <c r="BP71" i="25"/>
  <c r="BE71" i="25"/>
  <c r="BJ18" i="25"/>
  <c r="BJ95" i="25"/>
  <c r="BP48" i="25"/>
  <c r="BE48" i="25"/>
  <c r="BP56" i="25"/>
  <c r="BE56" i="25"/>
  <c r="BP34" i="25"/>
  <c r="BE34" i="25"/>
  <c r="BP70" i="25"/>
  <c r="BE70" i="25"/>
  <c r="BP10" i="25"/>
  <c r="BE10" i="25"/>
  <c r="BP82" i="25"/>
  <c r="BE82" i="25"/>
  <c r="BJ84" i="25"/>
  <c r="BP27" i="25"/>
  <c r="BE27" i="25"/>
  <c r="BP42" i="25"/>
  <c r="BE42" i="25"/>
  <c r="BP14" i="25"/>
  <c r="BE14" i="25"/>
  <c r="BP102" i="25"/>
  <c r="BE102" i="25"/>
  <c r="BP93" i="25"/>
  <c r="BE93" i="25"/>
  <c r="BP78" i="25"/>
  <c r="BE78" i="25"/>
  <c r="BP100" i="25"/>
  <c r="BE100" i="25"/>
  <c r="BP103" i="25"/>
  <c r="BE103" i="25"/>
  <c r="BP88" i="25"/>
  <c r="BE88" i="25"/>
  <c r="BP40" i="25"/>
  <c r="BE40" i="25"/>
  <c r="BP39" i="25"/>
  <c r="BE39" i="25"/>
  <c r="BP37" i="25"/>
  <c r="BE37" i="25"/>
  <c r="BJ85" i="25"/>
  <c r="BP17" i="25"/>
  <c r="BE17" i="25"/>
  <c r="BP16" i="25"/>
  <c r="BE16" i="25"/>
  <c r="BP51" i="25"/>
  <c r="BE51" i="25"/>
  <c r="BP47" i="25"/>
  <c r="BE47" i="25"/>
  <c r="BE7" i="25"/>
  <c r="BP7" i="25"/>
  <c r="BP30" i="25"/>
  <c r="BE30" i="25"/>
  <c r="BP53" i="25"/>
  <c r="BE53" i="25"/>
  <c r="BP44" i="25"/>
  <c r="BE44" i="25"/>
  <c r="BP12" i="25"/>
  <c r="BE12" i="25"/>
  <c r="BP72" i="25"/>
  <c r="BE72" i="25"/>
  <c r="BP41" i="25"/>
  <c r="BE41" i="25"/>
  <c r="BP79" i="25"/>
  <c r="BE79" i="25"/>
  <c r="BP76" i="25"/>
  <c r="BE76" i="25"/>
  <c r="BP11" i="25"/>
  <c r="BE11" i="25"/>
  <c r="BP31" i="25"/>
  <c r="BE31" i="25"/>
  <c r="BP22" i="25"/>
  <c r="BE22" i="25"/>
  <c r="BP101" i="25"/>
  <c r="BE101" i="25"/>
  <c r="BP29" i="25"/>
  <c r="BE29" i="25"/>
  <c r="BP50" i="25"/>
  <c r="BE50" i="25"/>
  <c r="BP49" i="25"/>
  <c r="BE49" i="25"/>
  <c r="BP87" i="25"/>
  <c r="BE87" i="25"/>
  <c r="BU56" i="24"/>
  <c r="BU31" i="24"/>
  <c r="BU18" i="24"/>
  <c r="BU50" i="24"/>
  <c r="BU101" i="24"/>
  <c r="BU10" i="24"/>
  <c r="BU70" i="24"/>
  <c r="BU25" i="24"/>
  <c r="BU72" i="24"/>
  <c r="BU83" i="24"/>
  <c r="BU46" i="24"/>
  <c r="BU100" i="24"/>
  <c r="BU60" i="24"/>
  <c r="BU19" i="24"/>
  <c r="BU42" i="24"/>
  <c r="BU63" i="24"/>
  <c r="BU55" i="24"/>
  <c r="BU28" i="24"/>
  <c r="BL79" i="24"/>
  <c r="BL41" i="24"/>
  <c r="BL54" i="24"/>
  <c r="BL14" i="24"/>
  <c r="BL95" i="24"/>
  <c r="BV32" i="24"/>
  <c r="BX32" i="24" s="1"/>
  <c r="BY32" i="24" s="1"/>
  <c r="BL89" i="24"/>
  <c r="BL74" i="24"/>
  <c r="BL87" i="24"/>
  <c r="BL96" i="24"/>
  <c r="BL78" i="24"/>
  <c r="BL91" i="24"/>
  <c r="BL29" i="24"/>
  <c r="BL82" i="24"/>
  <c r="BL59" i="24"/>
  <c r="BL36" i="24"/>
  <c r="BL105" i="24"/>
  <c r="BL92" i="24"/>
  <c r="BL68" i="24"/>
  <c r="BL21" i="24"/>
  <c r="BL85" i="24"/>
  <c r="BV53" i="24"/>
  <c r="BX53" i="24" s="1"/>
  <c r="BY53" i="24" s="1"/>
  <c r="BQ79" i="24"/>
  <c r="BU79" i="24" s="1"/>
  <c r="BG100" i="24"/>
  <c r="BQ54" i="24"/>
  <c r="BU54" i="24" s="1"/>
  <c r="BQ14" i="24"/>
  <c r="BU14" i="24" s="1"/>
  <c r="BQ95" i="24"/>
  <c r="BU95" i="24" s="1"/>
  <c r="BG83" i="24"/>
  <c r="BG50" i="24"/>
  <c r="BG70" i="24"/>
  <c r="BG25" i="24"/>
  <c r="BG60" i="24"/>
  <c r="BG42" i="24"/>
  <c r="BG55" i="24"/>
  <c r="BG28" i="24"/>
  <c r="BG10" i="24"/>
  <c r="BG101" i="24"/>
  <c r="BG19" i="24"/>
  <c r="BG63" i="24"/>
  <c r="BQ41" i="24"/>
  <c r="BU41" i="24" s="1"/>
  <c r="BG72" i="24"/>
  <c r="BG46" i="24"/>
  <c r="BQ91" i="24"/>
  <c r="BU91" i="24" s="1"/>
  <c r="BQ29" i="24"/>
  <c r="BU29" i="24" s="1"/>
  <c r="BQ59" i="24"/>
  <c r="BU59" i="24" s="1"/>
  <c r="BQ85" i="24"/>
  <c r="BU85" i="24" s="1"/>
  <c r="BQ96" i="24"/>
  <c r="BU96" i="24" s="1"/>
  <c r="BG31" i="24"/>
  <c r="BG56" i="24"/>
  <c r="BG18" i="24"/>
  <c r="BQ82" i="24"/>
  <c r="BU82" i="24" s="1"/>
  <c r="BQ36" i="24"/>
  <c r="BU36" i="24" s="1"/>
  <c r="BQ92" i="24"/>
  <c r="BU92" i="24" s="1"/>
  <c r="BQ68" i="24"/>
  <c r="BU68" i="24" s="1"/>
  <c r="BQ87" i="24"/>
  <c r="BU87" i="24" s="1"/>
  <c r="BQ74" i="24"/>
  <c r="BU74" i="24" s="1"/>
  <c r="BQ78" i="24"/>
  <c r="BU78" i="24" s="1"/>
  <c r="BQ105" i="24"/>
  <c r="BU105" i="24" s="1"/>
  <c r="BQ21" i="24"/>
  <c r="BU21" i="24" s="1"/>
  <c r="BQ89" i="24"/>
  <c r="BU89" i="24" s="1"/>
  <c r="B122" i="2"/>
  <c r="B128" i="2"/>
  <c r="E19" i="1" s="1"/>
  <c r="AZ106" i="19"/>
  <c r="BL106" i="19" s="1"/>
  <c r="BM106" i="19" s="1"/>
  <c r="BZ106" i="19" s="1"/>
  <c r="BK106" i="19"/>
  <c r="B257" i="2"/>
  <c r="BI106" i="19"/>
  <c r="BJ106" i="19"/>
  <c r="BC106" i="19"/>
  <c r="BB106" i="19"/>
  <c r="BD106" i="19"/>
  <c r="BG106" i="19"/>
  <c r="BU106" i="19"/>
  <c r="CA106" i="19" s="1"/>
  <c r="BH106" i="19"/>
  <c r="BA106" i="19"/>
  <c r="BF106" i="19"/>
  <c r="BS106" i="19"/>
  <c r="BE106" i="19"/>
  <c r="BQ165" i="24" l="1"/>
  <c r="BU165" i="24" s="1"/>
  <c r="BG167" i="24"/>
  <c r="BL167" i="24" s="1"/>
  <c r="BJ171" i="25"/>
  <c r="BV171" i="25"/>
  <c r="BX171" i="25" s="1"/>
  <c r="BY171" i="25" s="1"/>
  <c r="BJ154" i="25"/>
  <c r="BV154" i="25"/>
  <c r="BX154" i="25" s="1"/>
  <c r="BY154" i="25" s="1"/>
  <c r="BV147" i="25"/>
  <c r="BX147" i="25" s="1"/>
  <c r="BY147" i="25" s="1"/>
  <c r="BJ147" i="25"/>
  <c r="BV139" i="25"/>
  <c r="BX139" i="25" s="1"/>
  <c r="BY139" i="25" s="1"/>
  <c r="BJ139" i="25"/>
  <c r="BV115" i="25"/>
  <c r="BX115" i="25" s="1"/>
  <c r="BY115" i="25" s="1"/>
  <c r="BJ115" i="25"/>
  <c r="BV200" i="25"/>
  <c r="BX200" i="25" s="1"/>
  <c r="BY200" i="25" s="1"/>
  <c r="BJ200" i="25"/>
  <c r="BV134" i="25"/>
  <c r="BX134" i="25" s="1"/>
  <c r="BY134" i="25" s="1"/>
  <c r="BJ134" i="25"/>
  <c r="BJ126" i="25"/>
  <c r="BV126" i="25"/>
  <c r="BX126" i="25" s="1"/>
  <c r="BY126" i="25" s="1"/>
  <c r="BJ132" i="25"/>
  <c r="BV132" i="25"/>
  <c r="BX132" i="25" s="1"/>
  <c r="BY132" i="25" s="1"/>
  <c r="BJ156" i="25"/>
  <c r="BV156" i="25"/>
  <c r="BX156" i="25" s="1"/>
  <c r="BY156" i="25" s="1"/>
  <c r="BV128" i="25"/>
  <c r="BX128" i="25" s="1"/>
  <c r="BY128" i="25" s="1"/>
  <c r="BJ128" i="25"/>
  <c r="BJ173" i="25"/>
  <c r="BV173" i="25"/>
  <c r="BX173" i="25" s="1"/>
  <c r="BJ127" i="25"/>
  <c r="BV127" i="25"/>
  <c r="BX127" i="25" s="1"/>
  <c r="BY127" i="25" s="1"/>
  <c r="BJ186" i="25"/>
  <c r="BV186" i="25"/>
  <c r="BX186" i="25" s="1"/>
  <c r="BY186" i="25" s="1"/>
  <c r="BJ166" i="25"/>
  <c r="BV166" i="25"/>
  <c r="BX166" i="25" s="1"/>
  <c r="BJ184" i="25"/>
  <c r="BV184" i="25"/>
  <c r="BX184" i="25" s="1"/>
  <c r="BJ157" i="25"/>
  <c r="BV157" i="25"/>
  <c r="BX157" i="25" s="1"/>
  <c r="BY157" i="25" s="1"/>
  <c r="BV124" i="25"/>
  <c r="BX124" i="25" s="1"/>
  <c r="BY124" i="25" s="1"/>
  <c r="BJ124" i="25"/>
  <c r="BV176" i="25"/>
  <c r="BX176" i="25" s="1"/>
  <c r="BJ176" i="25"/>
  <c r="BJ172" i="25"/>
  <c r="BV172" i="25"/>
  <c r="BX172" i="25" s="1"/>
  <c r="BY172" i="25" s="1"/>
  <c r="BJ203" i="25"/>
  <c r="BV203" i="25"/>
  <c r="BX203" i="25" s="1"/>
  <c r="BJ113" i="25"/>
  <c r="BV113" i="25"/>
  <c r="BX113" i="25" s="1"/>
  <c r="BY113" i="25" s="1"/>
  <c r="BV131" i="25"/>
  <c r="BX131" i="25" s="1"/>
  <c r="BY131" i="25" s="1"/>
  <c r="BJ131" i="25"/>
  <c r="BJ178" i="25"/>
  <c r="BV178" i="25"/>
  <c r="BX178" i="25" s="1"/>
  <c r="BY178" i="25" s="1"/>
  <c r="BJ121" i="25"/>
  <c r="BV121" i="25"/>
  <c r="BX121" i="25" s="1"/>
  <c r="BY121" i="25" s="1"/>
  <c r="BP110" i="25"/>
  <c r="BU110" i="25" s="1"/>
  <c r="BE110" i="25"/>
  <c r="BJ129" i="25"/>
  <c r="BV129" i="25"/>
  <c r="BX129" i="25" s="1"/>
  <c r="BY129" i="25" s="1"/>
  <c r="BJ183" i="25"/>
  <c r="BV183" i="25"/>
  <c r="BX183" i="25" s="1"/>
  <c r="BY183" i="25" s="1"/>
  <c r="BV161" i="25"/>
  <c r="BX161" i="25" s="1"/>
  <c r="BY161" i="25" s="1"/>
  <c r="BJ161" i="25"/>
  <c r="BV133" i="25"/>
  <c r="BX133" i="25" s="1"/>
  <c r="BY133" i="25" s="1"/>
  <c r="BJ133" i="25"/>
  <c r="BV193" i="25"/>
  <c r="BX193" i="25" s="1"/>
  <c r="BY193" i="25" s="1"/>
  <c r="BJ193" i="25"/>
  <c r="BJ138" i="25"/>
  <c r="BV138" i="25"/>
  <c r="BX138" i="25" s="1"/>
  <c r="BY138" i="25" s="1"/>
  <c r="BV144" i="25"/>
  <c r="BX144" i="25" s="1"/>
  <c r="BJ144" i="25"/>
  <c r="BV125" i="25"/>
  <c r="BX125" i="25" s="1"/>
  <c r="BY125" i="25" s="1"/>
  <c r="BJ125" i="25"/>
  <c r="BJ164" i="25"/>
  <c r="BV164" i="25"/>
  <c r="BX164" i="25" s="1"/>
  <c r="BV197" i="25"/>
  <c r="BX197" i="25" s="1"/>
  <c r="BJ197" i="25"/>
  <c r="BV112" i="25"/>
  <c r="BX112" i="25" s="1"/>
  <c r="BY112" i="25" s="1"/>
  <c r="BJ112" i="25"/>
  <c r="BJ119" i="25"/>
  <c r="BV119" i="25"/>
  <c r="BX119" i="25" s="1"/>
  <c r="BY119" i="25" s="1"/>
  <c r="BJ206" i="25"/>
  <c r="BV206" i="25"/>
  <c r="BX206" i="25" s="1"/>
  <c r="BV114" i="25"/>
  <c r="BX114" i="25" s="1"/>
  <c r="BY114" i="25" s="1"/>
  <c r="BJ114" i="25"/>
  <c r="BJ137" i="25"/>
  <c r="BV137" i="25"/>
  <c r="BX137" i="25" s="1"/>
  <c r="BY137" i="25" s="1"/>
  <c r="BV136" i="25"/>
  <c r="BX136" i="25" s="1"/>
  <c r="BY136" i="25" s="1"/>
  <c r="BJ136" i="25"/>
  <c r="BJ165" i="25"/>
  <c r="BV165" i="25"/>
  <c r="BX165" i="25" s="1"/>
  <c r="BY165" i="25" s="1"/>
  <c r="BJ185" i="25"/>
  <c r="BV185" i="25"/>
  <c r="BX185" i="25" s="1"/>
  <c r="BY185" i="25" s="1"/>
  <c r="BV141" i="25"/>
  <c r="BX141" i="25" s="1"/>
  <c r="BY141" i="25" s="1"/>
  <c r="BJ141" i="25"/>
  <c r="BJ201" i="25"/>
  <c r="BV201" i="25"/>
  <c r="BX201" i="25" s="1"/>
  <c r="BY201" i="25" s="1"/>
  <c r="BV174" i="25"/>
  <c r="BX174" i="25" s="1"/>
  <c r="BJ174" i="25"/>
  <c r="BV140" i="25"/>
  <c r="BX140" i="25" s="1"/>
  <c r="BY140" i="25" s="1"/>
  <c r="BJ140" i="25"/>
  <c r="BV120" i="25"/>
  <c r="BX120" i="25" s="1"/>
  <c r="BY120" i="25" s="1"/>
  <c r="BJ120" i="25"/>
  <c r="BJ148" i="25"/>
  <c r="BV148" i="25"/>
  <c r="BX148" i="25" s="1"/>
  <c r="BY148" i="25" s="1"/>
  <c r="BV192" i="25"/>
  <c r="BX192" i="25" s="1"/>
  <c r="BY192" i="25" s="1"/>
  <c r="BJ192" i="25"/>
  <c r="BJ117" i="25"/>
  <c r="BV117" i="25"/>
  <c r="BX117" i="25" s="1"/>
  <c r="BY117" i="25" s="1"/>
  <c r="BV181" i="25"/>
  <c r="BX181" i="25" s="1"/>
  <c r="BY181" i="25" s="1"/>
  <c r="BJ181" i="25"/>
  <c r="BV116" i="25"/>
  <c r="BX116" i="25" s="1"/>
  <c r="BY116" i="25" s="1"/>
  <c r="BJ116" i="25"/>
  <c r="BJ123" i="25"/>
  <c r="BV123" i="25"/>
  <c r="BX123" i="25" s="1"/>
  <c r="BY123" i="25" s="1"/>
  <c r="BV170" i="25"/>
  <c r="BX170" i="25" s="1"/>
  <c r="BJ170" i="25"/>
  <c r="BV122" i="25"/>
  <c r="BX122" i="25" s="1"/>
  <c r="BY122" i="25" s="1"/>
  <c r="BJ122" i="25"/>
  <c r="BV210" i="25"/>
  <c r="BX210" i="25" s="1"/>
  <c r="BY210" i="25" s="1"/>
  <c r="BJ210" i="25"/>
  <c r="BJ158" i="25"/>
  <c r="BV158" i="25"/>
  <c r="BX158" i="25" s="1"/>
  <c r="BY158" i="25" s="1"/>
  <c r="BJ163" i="25"/>
  <c r="BV163" i="25"/>
  <c r="BX163" i="25" s="1"/>
  <c r="BY163" i="25" s="1"/>
  <c r="BJ111" i="25"/>
  <c r="BV111" i="25"/>
  <c r="BX111" i="25" s="1"/>
  <c r="BY111" i="25" s="1"/>
  <c r="BJ159" i="25"/>
  <c r="BV159" i="25"/>
  <c r="BX159" i="25" s="1"/>
  <c r="BY159" i="25" s="1"/>
  <c r="BV160" i="25"/>
  <c r="BX160" i="25" s="1"/>
  <c r="BY160" i="25" s="1"/>
  <c r="BJ168" i="25"/>
  <c r="BV168" i="25"/>
  <c r="BX168" i="25" s="1"/>
  <c r="BY168" i="25" s="1"/>
  <c r="BJ191" i="25"/>
  <c r="BV191" i="25"/>
  <c r="BX191" i="25" s="1"/>
  <c r="BY191" i="25" s="1"/>
  <c r="BJ142" i="25"/>
  <c r="BV142" i="25"/>
  <c r="BX142" i="25" s="1"/>
  <c r="BY142" i="25" s="1"/>
  <c r="BJ145" i="25"/>
  <c r="BV145" i="25"/>
  <c r="BX145" i="25" s="1"/>
  <c r="BY145" i="25" s="1"/>
  <c r="BV180" i="25"/>
  <c r="BX180" i="25" s="1"/>
  <c r="BY180" i="25" s="1"/>
  <c r="BJ180" i="25"/>
  <c r="BV204" i="25"/>
  <c r="BX204" i="25" s="1"/>
  <c r="BY204" i="25" s="1"/>
  <c r="BJ204" i="25"/>
  <c r="BV188" i="25"/>
  <c r="BX188" i="25" s="1"/>
  <c r="BY188" i="25" s="1"/>
  <c r="BJ188" i="25"/>
  <c r="BJ155" i="25"/>
  <c r="BV155" i="25"/>
  <c r="BX155" i="25" s="1"/>
  <c r="BY155" i="25" s="1"/>
  <c r="BV187" i="25"/>
  <c r="BX187" i="25" s="1"/>
  <c r="BY187" i="25" s="1"/>
  <c r="BJ187" i="25"/>
  <c r="BV167" i="25"/>
  <c r="BX167" i="25" s="1"/>
  <c r="BJ167" i="25"/>
  <c r="BJ169" i="25"/>
  <c r="BV169" i="25"/>
  <c r="BX169" i="25" s="1"/>
  <c r="BY169" i="25" s="1"/>
  <c r="BJ150" i="25"/>
  <c r="BV150" i="25"/>
  <c r="BX150" i="25" s="1"/>
  <c r="BY150" i="25" s="1"/>
  <c r="BJ146" i="25"/>
  <c r="BV146" i="25"/>
  <c r="BX146" i="25" s="1"/>
  <c r="BJ179" i="25"/>
  <c r="BV179" i="25"/>
  <c r="BX179" i="25" s="1"/>
  <c r="BV151" i="25"/>
  <c r="BX151" i="25" s="1"/>
  <c r="BY151" i="25" s="1"/>
  <c r="BJ151" i="25"/>
  <c r="BV153" i="25"/>
  <c r="BX153" i="25" s="1"/>
  <c r="BY153" i="25" s="1"/>
  <c r="BJ153" i="25"/>
  <c r="BV149" i="25"/>
  <c r="BX149" i="25" s="1"/>
  <c r="BY149" i="25" s="1"/>
  <c r="BJ149" i="25"/>
  <c r="BJ199" i="25"/>
  <c r="BV199" i="25"/>
  <c r="BX199" i="25" s="1"/>
  <c r="BY199" i="25" s="1"/>
  <c r="BV196" i="25"/>
  <c r="BX196" i="25" s="1"/>
  <c r="BY196" i="25" s="1"/>
  <c r="BJ196" i="25"/>
  <c r="BV205" i="25"/>
  <c r="BX205" i="25" s="1"/>
  <c r="BY205" i="25" s="1"/>
  <c r="BJ205" i="25"/>
  <c r="BJ195" i="25"/>
  <c r="BV195" i="25"/>
  <c r="BX195" i="25" s="1"/>
  <c r="BY195" i="25" s="1"/>
  <c r="BV190" i="25"/>
  <c r="BX190" i="25" s="1"/>
  <c r="BJ190" i="25"/>
  <c r="BV194" i="25"/>
  <c r="BX194" i="25" s="1"/>
  <c r="BY194" i="25" s="1"/>
  <c r="BJ194" i="25"/>
  <c r="BJ135" i="25"/>
  <c r="BV135" i="25"/>
  <c r="BX135" i="25" s="1"/>
  <c r="BJ177" i="25"/>
  <c r="BV177" i="25"/>
  <c r="BX177" i="25" s="1"/>
  <c r="BV209" i="25"/>
  <c r="BX209" i="25" s="1"/>
  <c r="BY209" i="25" s="1"/>
  <c r="BJ209" i="25"/>
  <c r="BV118" i="25"/>
  <c r="BX118" i="25" s="1"/>
  <c r="BY118" i="25" s="1"/>
  <c r="BJ118" i="25"/>
  <c r="BV182" i="25"/>
  <c r="BX182" i="25" s="1"/>
  <c r="BY182" i="25" s="1"/>
  <c r="BJ182" i="25"/>
  <c r="BV208" i="25"/>
  <c r="BX208" i="25" s="1"/>
  <c r="BY208" i="25" s="1"/>
  <c r="BJ208" i="25"/>
  <c r="BV130" i="25"/>
  <c r="BX130" i="25" s="1"/>
  <c r="BY130" i="25" s="1"/>
  <c r="BJ130" i="25"/>
  <c r="BJ207" i="25"/>
  <c r="BV207" i="25"/>
  <c r="BX207" i="25" s="1"/>
  <c r="BY207" i="25" s="1"/>
  <c r="BV162" i="25"/>
  <c r="BX162" i="25" s="1"/>
  <c r="BY162" i="25" s="1"/>
  <c r="BJ162" i="25"/>
  <c r="BJ143" i="25"/>
  <c r="BV143" i="25"/>
  <c r="BX143" i="25" s="1"/>
  <c r="BY143" i="25" s="1"/>
  <c r="BV202" i="25"/>
  <c r="BX202" i="25" s="1"/>
  <c r="BY202" i="25" s="1"/>
  <c r="BJ202" i="25"/>
  <c r="BV198" i="25"/>
  <c r="BX198" i="25" s="1"/>
  <c r="BY198" i="25" s="1"/>
  <c r="BJ198" i="25"/>
  <c r="BJ189" i="25"/>
  <c r="BV189" i="25"/>
  <c r="BX189" i="25" s="1"/>
  <c r="BY189" i="25" s="1"/>
  <c r="BJ175" i="25"/>
  <c r="BV175" i="25"/>
  <c r="BX175" i="25" s="1"/>
  <c r="BY175" i="25" s="1"/>
  <c r="BJ152" i="25"/>
  <c r="BV152" i="25"/>
  <c r="BX152" i="25" s="1"/>
  <c r="BG115" i="24"/>
  <c r="BL115" i="24" s="1"/>
  <c r="BV122" i="24"/>
  <c r="BX122" i="24" s="1"/>
  <c r="BY122" i="24" s="1"/>
  <c r="BL122" i="24"/>
  <c r="BV118" i="24"/>
  <c r="BX118" i="24" s="1"/>
  <c r="BY118" i="24" s="1"/>
  <c r="BL118" i="24"/>
  <c r="BL111" i="24"/>
  <c r="BV111" i="24"/>
  <c r="BX111" i="24" s="1"/>
  <c r="BY111" i="24" s="1"/>
  <c r="BV125" i="24"/>
  <c r="BX125" i="24" s="1"/>
  <c r="BY125" i="24" s="1"/>
  <c r="BL125" i="24"/>
  <c r="BQ110" i="24"/>
  <c r="BU110" i="24" s="1"/>
  <c r="BG110" i="24"/>
  <c r="BQ192" i="24"/>
  <c r="BU192" i="24" s="1"/>
  <c r="BG192" i="24"/>
  <c r="BV142" i="24"/>
  <c r="BX142" i="24" s="1"/>
  <c r="BY142" i="24" s="1"/>
  <c r="BL142" i="24"/>
  <c r="BQ130" i="24"/>
  <c r="BU130" i="24" s="1"/>
  <c r="BG130" i="24"/>
  <c r="BV120" i="24"/>
  <c r="BX120" i="24" s="1"/>
  <c r="BY120" i="24" s="1"/>
  <c r="BL120" i="24"/>
  <c r="BV154" i="24"/>
  <c r="BX154" i="24" s="1"/>
  <c r="BL154" i="24"/>
  <c r="BV204" i="24"/>
  <c r="BX204" i="24" s="1"/>
  <c r="BL204" i="24"/>
  <c r="BV162" i="24"/>
  <c r="BX162" i="24" s="1"/>
  <c r="BY162" i="24" s="1"/>
  <c r="BL162" i="24"/>
  <c r="BV121" i="24"/>
  <c r="BX121" i="24" s="1"/>
  <c r="BY121" i="24" s="1"/>
  <c r="BL121" i="24"/>
  <c r="BV173" i="24"/>
  <c r="BX173" i="24" s="1"/>
  <c r="BY173" i="24" s="1"/>
  <c r="BL173" i="24"/>
  <c r="BG208" i="24"/>
  <c r="BQ208" i="24"/>
  <c r="BU208" i="24" s="1"/>
  <c r="BQ210" i="24"/>
  <c r="BU210" i="24" s="1"/>
  <c r="BG210" i="24"/>
  <c r="BV133" i="24"/>
  <c r="BX133" i="24" s="1"/>
  <c r="BY133" i="24" s="1"/>
  <c r="BL133" i="24"/>
  <c r="BV184" i="24"/>
  <c r="BX184" i="24" s="1"/>
  <c r="BY184" i="24" s="1"/>
  <c r="BL184" i="24"/>
  <c r="BV138" i="24"/>
  <c r="BX138" i="24" s="1"/>
  <c r="BY138" i="24" s="1"/>
  <c r="BL138" i="24"/>
  <c r="BQ206" i="24"/>
  <c r="BU206" i="24" s="1"/>
  <c r="BG206" i="24"/>
  <c r="BQ123" i="24"/>
  <c r="BU123" i="24" s="1"/>
  <c r="BG123" i="24"/>
  <c r="BV200" i="24"/>
  <c r="BX200" i="24" s="1"/>
  <c r="BY200" i="24" s="1"/>
  <c r="BL200" i="24"/>
  <c r="BQ161" i="24"/>
  <c r="BU161" i="24" s="1"/>
  <c r="BG161" i="24"/>
  <c r="BV178" i="24"/>
  <c r="BX178" i="24" s="1"/>
  <c r="BY178" i="24" s="1"/>
  <c r="BL178" i="24"/>
  <c r="BV201" i="24"/>
  <c r="BX201" i="24" s="1"/>
  <c r="BY201" i="24" s="1"/>
  <c r="BL201" i="24"/>
  <c r="BQ176" i="24"/>
  <c r="BU176" i="24" s="1"/>
  <c r="BG176" i="24"/>
  <c r="BV185" i="24"/>
  <c r="BX185" i="24" s="1"/>
  <c r="BY185" i="24" s="1"/>
  <c r="BU185" i="24"/>
  <c r="BV170" i="24"/>
  <c r="BX170" i="24" s="1"/>
  <c r="BY170" i="24" s="1"/>
  <c r="BL170" i="24"/>
  <c r="BQ159" i="24"/>
  <c r="BU159" i="24" s="1"/>
  <c r="BG159" i="24"/>
  <c r="BQ181" i="24"/>
  <c r="BG181" i="24"/>
  <c r="BL181" i="24" s="1"/>
  <c r="BQ136" i="24"/>
  <c r="BU136" i="24" s="1"/>
  <c r="BG136" i="24"/>
  <c r="BV116" i="24"/>
  <c r="BX116" i="24" s="1"/>
  <c r="BY116" i="24" s="1"/>
  <c r="BL116" i="24"/>
  <c r="BV158" i="24"/>
  <c r="BX158" i="24" s="1"/>
  <c r="BY158" i="24" s="1"/>
  <c r="BL158" i="24"/>
  <c r="BL131" i="24"/>
  <c r="BV131" i="24"/>
  <c r="BX131" i="24" s="1"/>
  <c r="BY131" i="24" s="1"/>
  <c r="BV128" i="24"/>
  <c r="BX128" i="24" s="1"/>
  <c r="BY128" i="24" s="1"/>
  <c r="BL128" i="24"/>
  <c r="BL147" i="24"/>
  <c r="BV147" i="24"/>
  <c r="BX147" i="24" s="1"/>
  <c r="BY147" i="24" s="1"/>
  <c r="BL127" i="24"/>
  <c r="BV127" i="24"/>
  <c r="BX127" i="24" s="1"/>
  <c r="BY127" i="24" s="1"/>
  <c r="BQ199" i="24"/>
  <c r="BU199" i="24" s="1"/>
  <c r="BG199" i="24"/>
  <c r="BQ194" i="24"/>
  <c r="BU194" i="24" s="1"/>
  <c r="BG194" i="24"/>
  <c r="BL139" i="24"/>
  <c r="BV139" i="24"/>
  <c r="BX139" i="24" s="1"/>
  <c r="BL207" i="24"/>
  <c r="BV207" i="24"/>
  <c r="BX207" i="24" s="1"/>
  <c r="BL143" i="24"/>
  <c r="BV143" i="24"/>
  <c r="BX143" i="24" s="1"/>
  <c r="BY143" i="24" s="1"/>
  <c r="BV180" i="24"/>
  <c r="BX180" i="24" s="1"/>
  <c r="BY180" i="24" s="1"/>
  <c r="BL180" i="24"/>
  <c r="BV137" i="24"/>
  <c r="BX137" i="24" s="1"/>
  <c r="BY137" i="24" s="1"/>
  <c r="BL137" i="24"/>
  <c r="BV202" i="24"/>
  <c r="BX202" i="24" s="1"/>
  <c r="BY202" i="24" s="1"/>
  <c r="BL202" i="24"/>
  <c r="BV198" i="24"/>
  <c r="BX198" i="24" s="1"/>
  <c r="BY198" i="24" s="1"/>
  <c r="BL198" i="24"/>
  <c r="BQ114" i="24"/>
  <c r="BU114" i="24" s="1"/>
  <c r="BG114" i="24"/>
  <c r="BQ155" i="24"/>
  <c r="BU155" i="24" s="1"/>
  <c r="BG155" i="24"/>
  <c r="BV146" i="24"/>
  <c r="BX146" i="24" s="1"/>
  <c r="BY146" i="24" s="1"/>
  <c r="BL146" i="24"/>
  <c r="BQ189" i="24"/>
  <c r="BG189" i="24"/>
  <c r="BL189" i="24" s="1"/>
  <c r="BV145" i="24"/>
  <c r="BX145" i="24" s="1"/>
  <c r="BY145" i="24" s="1"/>
  <c r="BL145" i="24"/>
  <c r="BL175" i="24"/>
  <c r="BV175" i="24"/>
  <c r="BX175" i="24" s="1"/>
  <c r="BY175" i="24" s="1"/>
  <c r="BV124" i="24"/>
  <c r="BX124" i="24" s="1"/>
  <c r="BY124" i="24" s="1"/>
  <c r="BL124" i="24"/>
  <c r="BV132" i="24"/>
  <c r="BX132" i="24" s="1"/>
  <c r="BY132" i="24" s="1"/>
  <c r="BL132" i="24"/>
  <c r="BL179" i="24"/>
  <c r="BV179" i="24"/>
  <c r="BX179" i="24" s="1"/>
  <c r="BV166" i="24"/>
  <c r="BX166" i="24" s="1"/>
  <c r="BY166" i="24" s="1"/>
  <c r="BL166" i="24"/>
  <c r="BV177" i="24"/>
  <c r="BX177" i="24" s="1"/>
  <c r="BY177" i="24" s="1"/>
  <c r="BL177" i="24"/>
  <c r="BL171" i="24"/>
  <c r="BV171" i="24"/>
  <c r="BX171" i="24" s="1"/>
  <c r="BY171" i="24" s="1"/>
  <c r="BV197" i="24"/>
  <c r="BX197" i="24" s="1"/>
  <c r="BY197" i="24" s="1"/>
  <c r="BL197" i="24"/>
  <c r="BV113" i="24"/>
  <c r="BX113" i="24" s="1"/>
  <c r="BY113" i="24" s="1"/>
  <c r="BL113" i="24"/>
  <c r="BV140" i="24"/>
  <c r="BX140" i="24" s="1"/>
  <c r="BY140" i="24" s="1"/>
  <c r="BL140" i="24"/>
  <c r="BV150" i="24"/>
  <c r="BX150" i="24" s="1"/>
  <c r="BL150" i="24"/>
  <c r="BQ182" i="24"/>
  <c r="BG182" i="24"/>
  <c r="BL182" i="24" s="1"/>
  <c r="BQ195" i="24"/>
  <c r="BU195" i="24" s="1"/>
  <c r="BG195" i="24"/>
  <c r="BQ169" i="24"/>
  <c r="BU169" i="24" s="1"/>
  <c r="BG169" i="24"/>
  <c r="BL165" i="24"/>
  <c r="BL135" i="24"/>
  <c r="BV135" i="24"/>
  <c r="BX135" i="24" s="1"/>
  <c r="BY135" i="24" s="1"/>
  <c r="BV164" i="24"/>
  <c r="BX164" i="24" s="1"/>
  <c r="BY164" i="24" s="1"/>
  <c r="BL164" i="24"/>
  <c r="BV129" i="24"/>
  <c r="BX129" i="24" s="1"/>
  <c r="BY129" i="24" s="1"/>
  <c r="BL129" i="24"/>
  <c r="BV126" i="24"/>
  <c r="BX126" i="24" s="1"/>
  <c r="BY126" i="24" s="1"/>
  <c r="BL126" i="24"/>
  <c r="BV157" i="24"/>
  <c r="BX157" i="24" s="1"/>
  <c r="BY157" i="24" s="1"/>
  <c r="BL157" i="24"/>
  <c r="BQ156" i="24"/>
  <c r="BU156" i="24" s="1"/>
  <c r="BG156" i="24"/>
  <c r="BQ149" i="24"/>
  <c r="BU149" i="24" s="1"/>
  <c r="BG149" i="24"/>
  <c r="BQ172" i="24"/>
  <c r="BU172" i="24" s="1"/>
  <c r="BG172" i="24"/>
  <c r="BQ193" i="24"/>
  <c r="BU193" i="24" s="1"/>
  <c r="BG193" i="24"/>
  <c r="BV117" i="24"/>
  <c r="BX117" i="24" s="1"/>
  <c r="BY117" i="24" s="1"/>
  <c r="BL117" i="24"/>
  <c r="BV160" i="24"/>
  <c r="BX160" i="24" s="1"/>
  <c r="BL160" i="24"/>
  <c r="BQ168" i="24"/>
  <c r="BU168" i="24" s="1"/>
  <c r="BG168" i="24"/>
  <c r="BL183" i="24"/>
  <c r="BV183" i="24"/>
  <c r="BX183" i="24" s="1"/>
  <c r="BY183" i="24" s="1"/>
  <c r="BV148" i="24"/>
  <c r="BX148" i="24" s="1"/>
  <c r="BY148" i="24" s="1"/>
  <c r="BL148" i="24"/>
  <c r="BV153" i="24"/>
  <c r="BX153" i="24" s="1"/>
  <c r="BY153" i="24" s="1"/>
  <c r="BL153" i="24"/>
  <c r="BV186" i="24"/>
  <c r="BX186" i="24" s="1"/>
  <c r="BY186" i="24" s="1"/>
  <c r="BU186" i="24"/>
  <c r="BQ188" i="24"/>
  <c r="BU188" i="24" s="1"/>
  <c r="BG188" i="24"/>
  <c r="BQ112" i="24"/>
  <c r="BU112" i="24" s="1"/>
  <c r="BG112" i="24"/>
  <c r="BQ141" i="24"/>
  <c r="BU141" i="24" s="1"/>
  <c r="BG141" i="24"/>
  <c r="BV190" i="24"/>
  <c r="BX190" i="24" s="1"/>
  <c r="BU190" i="24"/>
  <c r="BV174" i="24"/>
  <c r="BX174" i="24" s="1"/>
  <c r="BY174" i="24" s="1"/>
  <c r="BL174" i="24"/>
  <c r="BV196" i="24"/>
  <c r="BX196" i="24" s="1"/>
  <c r="BY196" i="24" s="1"/>
  <c r="BL196" i="24"/>
  <c r="BG209" i="24"/>
  <c r="BQ209" i="24"/>
  <c r="BU209" i="24" s="1"/>
  <c r="BQ134" i="24"/>
  <c r="BU134" i="24" s="1"/>
  <c r="BG134" i="24"/>
  <c r="BV205" i="24"/>
  <c r="BX205" i="24" s="1"/>
  <c r="BY205" i="24" s="1"/>
  <c r="BL205" i="24"/>
  <c r="BQ191" i="24"/>
  <c r="BU191" i="24" s="1"/>
  <c r="BG191" i="24"/>
  <c r="BQ119" i="24"/>
  <c r="BU119" i="24" s="1"/>
  <c r="BG119" i="24"/>
  <c r="BL151" i="24"/>
  <c r="BV151" i="24"/>
  <c r="BX151" i="24" s="1"/>
  <c r="BY151" i="24" s="1"/>
  <c r="BL163" i="24"/>
  <c r="BV163" i="24"/>
  <c r="BX163" i="24" s="1"/>
  <c r="BY163" i="24" s="1"/>
  <c r="BL187" i="24"/>
  <c r="BV187" i="24"/>
  <c r="BX187" i="24" s="1"/>
  <c r="BY187" i="24" s="1"/>
  <c r="BV152" i="24"/>
  <c r="BX152" i="24" s="1"/>
  <c r="BY152" i="24" s="1"/>
  <c r="BL152" i="24"/>
  <c r="BV144" i="24"/>
  <c r="BX144" i="24" s="1"/>
  <c r="BY144" i="24" s="1"/>
  <c r="BL144" i="24"/>
  <c r="BQ203" i="24"/>
  <c r="BU203" i="24" s="1"/>
  <c r="BG203" i="24"/>
  <c r="BJ58" i="25"/>
  <c r="BQ86" i="24"/>
  <c r="BU86" i="24" s="1"/>
  <c r="BU73" i="24"/>
  <c r="BG73" i="24"/>
  <c r="BV73" i="24" s="1"/>
  <c r="BX73" i="24" s="1"/>
  <c r="BY73" i="24" s="1"/>
  <c r="BQ33" i="24"/>
  <c r="BU33" i="24" s="1"/>
  <c r="BU104" i="24"/>
  <c r="BU43" i="24"/>
  <c r="BG51" i="24"/>
  <c r="BV51" i="24" s="1"/>
  <c r="BX51" i="24" s="1"/>
  <c r="BY51" i="24" s="1"/>
  <c r="BU51" i="24"/>
  <c r="BQ97" i="24"/>
  <c r="BU97" i="24" s="1"/>
  <c r="BG43" i="24"/>
  <c r="BL43" i="24" s="1"/>
  <c r="BQ64" i="24"/>
  <c r="BV64" i="24" s="1"/>
  <c r="BX64" i="24" s="1"/>
  <c r="BY64" i="24" s="1"/>
  <c r="BQ27" i="24"/>
  <c r="BU27" i="24" s="1"/>
  <c r="BQ23" i="24"/>
  <c r="BV23" i="24" s="1"/>
  <c r="BX23" i="24" s="1"/>
  <c r="BY23" i="24" s="1"/>
  <c r="BQ49" i="24"/>
  <c r="BU49" i="24" s="1"/>
  <c r="BL69" i="24"/>
  <c r="BU81" i="24"/>
  <c r="BQ88" i="24"/>
  <c r="BU88" i="24" s="1"/>
  <c r="BV22" i="24"/>
  <c r="BX22" i="24" s="1"/>
  <c r="BY22" i="24" s="1"/>
  <c r="BG81" i="24"/>
  <c r="BL81" i="24" s="1"/>
  <c r="BQ65" i="24"/>
  <c r="BU65" i="24" s="1"/>
  <c r="BG35" i="24"/>
  <c r="BL35" i="24" s="1"/>
  <c r="BU35" i="24"/>
  <c r="BV34" i="24"/>
  <c r="BX34" i="24" s="1"/>
  <c r="BY34" i="24" s="1"/>
  <c r="AY71" i="24"/>
  <c r="AZ71" i="24" s="1"/>
  <c r="BD71" i="24"/>
  <c r="BE71" i="24"/>
  <c r="BR71" i="24" s="1"/>
  <c r="AY13" i="24"/>
  <c r="AZ13" i="24" s="1"/>
  <c r="BD13" i="24"/>
  <c r="BE13" i="24"/>
  <c r="BR13" i="24" s="1"/>
  <c r="AY15" i="24"/>
  <c r="AZ15" i="24" s="1"/>
  <c r="BE15" i="24"/>
  <c r="BR15" i="24" s="1"/>
  <c r="BD15" i="24"/>
  <c r="BU22" i="24"/>
  <c r="AY48" i="24"/>
  <c r="AZ48" i="24" s="1"/>
  <c r="BD48" i="24"/>
  <c r="BE48" i="24"/>
  <c r="BR48" i="24" s="1"/>
  <c r="AY102" i="24"/>
  <c r="AZ102" i="24" s="1"/>
  <c r="BD102" i="24"/>
  <c r="BE102" i="24"/>
  <c r="BR102" i="24" s="1"/>
  <c r="AY93" i="24"/>
  <c r="AZ93" i="24" s="1"/>
  <c r="BE93" i="24"/>
  <c r="BR93" i="24" s="1"/>
  <c r="BD93" i="24"/>
  <c r="AY37" i="24"/>
  <c r="AZ37" i="24" s="1"/>
  <c r="BD37" i="24"/>
  <c r="BE37" i="24"/>
  <c r="BR37" i="24" s="1"/>
  <c r="AY94" i="24"/>
  <c r="AZ94" i="24" s="1"/>
  <c r="BE94" i="24"/>
  <c r="BR94" i="24" s="1"/>
  <c r="BD94" i="24"/>
  <c r="AY8" i="24"/>
  <c r="AZ8" i="24" s="1"/>
  <c r="BD8" i="24"/>
  <c r="BE8" i="24"/>
  <c r="BR8" i="24" s="1"/>
  <c r="AY58" i="24"/>
  <c r="AZ58" i="24" s="1"/>
  <c r="BE58" i="24"/>
  <c r="BR58" i="24" s="1"/>
  <c r="BD58" i="24"/>
  <c r="AY90" i="24"/>
  <c r="AZ90" i="24" s="1"/>
  <c r="BD90" i="24"/>
  <c r="BE90" i="24"/>
  <c r="BR90" i="24" s="1"/>
  <c r="AY99" i="24"/>
  <c r="AZ99" i="24" s="1"/>
  <c r="BD99" i="24"/>
  <c r="BE99" i="24"/>
  <c r="BR99" i="24" s="1"/>
  <c r="AY45" i="24"/>
  <c r="AZ45" i="24" s="1"/>
  <c r="BD45" i="24"/>
  <c r="BE45" i="24"/>
  <c r="BR45" i="24" s="1"/>
  <c r="AY38" i="24"/>
  <c r="AZ38" i="24" s="1"/>
  <c r="BD38" i="24"/>
  <c r="BE38" i="24"/>
  <c r="BR38" i="24" s="1"/>
  <c r="AY77" i="24"/>
  <c r="AZ77" i="24" s="1"/>
  <c r="BE77" i="24"/>
  <c r="BR77" i="24" s="1"/>
  <c r="BD77" i="24"/>
  <c r="AY98" i="24"/>
  <c r="AZ98" i="24" s="1"/>
  <c r="BD98" i="24"/>
  <c r="BE98" i="24"/>
  <c r="BR98" i="24" s="1"/>
  <c r="AY62" i="24"/>
  <c r="AZ62" i="24" s="1"/>
  <c r="BD62" i="24"/>
  <c r="BE62" i="24"/>
  <c r="BR62" i="24" s="1"/>
  <c r="AY47" i="24"/>
  <c r="AZ47" i="24" s="1"/>
  <c r="BE47" i="24"/>
  <c r="BR47" i="24" s="1"/>
  <c r="BD47" i="24"/>
  <c r="AY52" i="24"/>
  <c r="AZ52" i="24" s="1"/>
  <c r="BD52" i="24"/>
  <c r="BE52" i="24"/>
  <c r="BR52" i="24" s="1"/>
  <c r="AY75" i="24"/>
  <c r="AZ75" i="24" s="1"/>
  <c r="BE75" i="24"/>
  <c r="BR75" i="24" s="1"/>
  <c r="BD75" i="24"/>
  <c r="AY103" i="24"/>
  <c r="AZ103" i="24" s="1"/>
  <c r="BE103" i="24"/>
  <c r="BR103" i="24" s="1"/>
  <c r="BD103" i="24"/>
  <c r="AY24" i="24"/>
  <c r="AZ24" i="24" s="1"/>
  <c r="BD24" i="24"/>
  <c r="BE24" i="24"/>
  <c r="BR24" i="24" s="1"/>
  <c r="AY44" i="24"/>
  <c r="AZ44" i="24" s="1"/>
  <c r="BE44" i="24"/>
  <c r="BR44" i="24" s="1"/>
  <c r="BD44" i="24"/>
  <c r="AY67" i="24"/>
  <c r="AZ67" i="24" s="1"/>
  <c r="BE67" i="24"/>
  <c r="BR67" i="24" s="1"/>
  <c r="BD67" i="24"/>
  <c r="AY76" i="24"/>
  <c r="AZ76" i="24" s="1"/>
  <c r="BE76" i="24"/>
  <c r="BR76" i="24" s="1"/>
  <c r="BD76" i="24"/>
  <c r="AY57" i="24"/>
  <c r="AZ57" i="24" s="1"/>
  <c r="BE57" i="24"/>
  <c r="BR57" i="24" s="1"/>
  <c r="BD57" i="24"/>
  <c r="AY84" i="24"/>
  <c r="AZ84" i="24" s="1"/>
  <c r="BD84" i="24"/>
  <c r="BE84" i="24"/>
  <c r="BR84" i="24" s="1"/>
  <c r="AY39" i="24"/>
  <c r="AZ39" i="24" s="1"/>
  <c r="BE39" i="24"/>
  <c r="BR39" i="24" s="1"/>
  <c r="BD39" i="24"/>
  <c r="AY61" i="24"/>
  <c r="AZ61" i="24" s="1"/>
  <c r="BE61" i="24"/>
  <c r="BR61" i="24" s="1"/>
  <c r="BD61" i="24"/>
  <c r="AY16" i="24"/>
  <c r="AZ16" i="24" s="1"/>
  <c r="BE16" i="24"/>
  <c r="BR16" i="24" s="1"/>
  <c r="BD16" i="24"/>
  <c r="AY12" i="24"/>
  <c r="AZ12" i="24" s="1"/>
  <c r="BE12" i="24"/>
  <c r="BR12" i="24" s="1"/>
  <c r="BD12" i="24"/>
  <c r="AY11" i="24"/>
  <c r="AZ11" i="24" s="1"/>
  <c r="BE11" i="24"/>
  <c r="BR11" i="24" s="1"/>
  <c r="BD11" i="24"/>
  <c r="AY17" i="24"/>
  <c r="AZ17" i="24" s="1"/>
  <c r="BD17" i="24"/>
  <c r="BE17" i="24"/>
  <c r="BR17" i="24" s="1"/>
  <c r="AY9" i="24"/>
  <c r="AZ9" i="24" s="1"/>
  <c r="BD9" i="24"/>
  <c r="BE9" i="24"/>
  <c r="BR9" i="24" s="1"/>
  <c r="AY26" i="24"/>
  <c r="AZ26" i="24" s="1"/>
  <c r="BD26" i="24"/>
  <c r="BE26" i="24"/>
  <c r="BR26" i="24" s="1"/>
  <c r="AY20" i="24"/>
  <c r="AZ20" i="24" s="1"/>
  <c r="BE20" i="24"/>
  <c r="BR20" i="24" s="1"/>
  <c r="BD20" i="24"/>
  <c r="AY30" i="24"/>
  <c r="AZ30" i="24" s="1"/>
  <c r="BE30" i="24"/>
  <c r="BR30" i="24" s="1"/>
  <c r="BD30" i="24"/>
  <c r="AY66" i="24"/>
  <c r="AZ66" i="24" s="1"/>
  <c r="BE66" i="24"/>
  <c r="BR66" i="24" s="1"/>
  <c r="BD66" i="24"/>
  <c r="AY80" i="24"/>
  <c r="AZ80" i="24" s="1"/>
  <c r="BD80" i="24"/>
  <c r="BE80" i="24"/>
  <c r="BR80" i="24" s="1"/>
  <c r="AY7" i="24"/>
  <c r="AZ7" i="24" s="1"/>
  <c r="BD7" i="24"/>
  <c r="BE7" i="24"/>
  <c r="BR7" i="24" s="1"/>
  <c r="AY6" i="24"/>
  <c r="AZ6" i="24" s="1"/>
  <c r="BE6" i="24"/>
  <c r="BR6" i="24" s="1"/>
  <c r="BD6" i="24"/>
  <c r="BV40" i="24"/>
  <c r="BX40" i="24" s="1"/>
  <c r="BY40" i="24" s="1"/>
  <c r="BQ5" i="25"/>
  <c r="BP5" i="25"/>
  <c r="BE5" i="25"/>
  <c r="BV33" i="25"/>
  <c r="BX33" i="25" s="1"/>
  <c r="BY33" i="25" s="1"/>
  <c r="BU20" i="25"/>
  <c r="BU52" i="25"/>
  <c r="BU86" i="25"/>
  <c r="BV55" i="25"/>
  <c r="BX55" i="25" s="1"/>
  <c r="BY55" i="25" s="1"/>
  <c r="BU90" i="25"/>
  <c r="BV18" i="25"/>
  <c r="BX18" i="25" s="1"/>
  <c r="BY18" i="25" s="1"/>
  <c r="BU98" i="25"/>
  <c r="BU40" i="25"/>
  <c r="BU103" i="25"/>
  <c r="BU78" i="25"/>
  <c r="BU76" i="25"/>
  <c r="BU41" i="25"/>
  <c r="BU17" i="25"/>
  <c r="BU27" i="25"/>
  <c r="BU54" i="25"/>
  <c r="BU15" i="25"/>
  <c r="BU55" i="25"/>
  <c r="BV90" i="25"/>
  <c r="BX90" i="25" s="1"/>
  <c r="BY90" i="25" s="1"/>
  <c r="BU33" i="25"/>
  <c r="BU18" i="25"/>
  <c r="BU19" i="25"/>
  <c r="BU63" i="25"/>
  <c r="BU95" i="25"/>
  <c r="BU65" i="25"/>
  <c r="BV60" i="25"/>
  <c r="BX60" i="25" s="1"/>
  <c r="BY60" i="25" s="1"/>
  <c r="BU34" i="25"/>
  <c r="BV98" i="25"/>
  <c r="BX98" i="25" s="1"/>
  <c r="BU36" i="25"/>
  <c r="BU85" i="25"/>
  <c r="BU99" i="25"/>
  <c r="BU43" i="25"/>
  <c r="BU49" i="25"/>
  <c r="BU47" i="25"/>
  <c r="BV85" i="25"/>
  <c r="BX85" i="25" s="1"/>
  <c r="BY85" i="25" s="1"/>
  <c r="BU39" i="25"/>
  <c r="BU102" i="25"/>
  <c r="BU26" i="25"/>
  <c r="BU83" i="25"/>
  <c r="BU75" i="25"/>
  <c r="BU61" i="25"/>
  <c r="BU13" i="25"/>
  <c r="BU89" i="25"/>
  <c r="BU8" i="25"/>
  <c r="BU24" i="25"/>
  <c r="BU104" i="25"/>
  <c r="BU67" i="25"/>
  <c r="BU94" i="25"/>
  <c r="BU71" i="25"/>
  <c r="BU6" i="25"/>
  <c r="BU45" i="25"/>
  <c r="BU66" i="25"/>
  <c r="BU57" i="25"/>
  <c r="BU73" i="25"/>
  <c r="BU32" i="25"/>
  <c r="BV95" i="25"/>
  <c r="BX95" i="25" s="1"/>
  <c r="BY95" i="25" s="1"/>
  <c r="BU9" i="25"/>
  <c r="BU60" i="25"/>
  <c r="BU105" i="25"/>
  <c r="BU77" i="25"/>
  <c r="BU35" i="25"/>
  <c r="BU97" i="25"/>
  <c r="BU81" i="25"/>
  <c r="BU59" i="25"/>
  <c r="BU64" i="25"/>
  <c r="BU21" i="25"/>
  <c r="BU87" i="25"/>
  <c r="BU50" i="25"/>
  <c r="BU101" i="25"/>
  <c r="BU31" i="25"/>
  <c r="BU12" i="25"/>
  <c r="BU53" i="25"/>
  <c r="BU51" i="25"/>
  <c r="BU37" i="25"/>
  <c r="BU14" i="25"/>
  <c r="BU10" i="25"/>
  <c r="BV32" i="25"/>
  <c r="BX32" i="25" s="1"/>
  <c r="BY32" i="25" s="1"/>
  <c r="BU29" i="25"/>
  <c r="BU11" i="25"/>
  <c r="BU72" i="25"/>
  <c r="BU44" i="25"/>
  <c r="BU16" i="25"/>
  <c r="BU88" i="25"/>
  <c r="BU100" i="25"/>
  <c r="BU93" i="25"/>
  <c r="BU42" i="25"/>
  <c r="BU62" i="25"/>
  <c r="BU28" i="25"/>
  <c r="BU68" i="25"/>
  <c r="BU25" i="25"/>
  <c r="BU80" i="25"/>
  <c r="BU69" i="25"/>
  <c r="BU74" i="25"/>
  <c r="BU46" i="25"/>
  <c r="BU96" i="25"/>
  <c r="BU38" i="25"/>
  <c r="BU91" i="25"/>
  <c r="BU92" i="25"/>
  <c r="BV65" i="25"/>
  <c r="BX65" i="25" s="1"/>
  <c r="BY65" i="25" s="1"/>
  <c r="BU23" i="25"/>
  <c r="BU84" i="25"/>
  <c r="BU22" i="25"/>
  <c r="BU79" i="25"/>
  <c r="BU30" i="25"/>
  <c r="BU7" i="25"/>
  <c r="BU82" i="25"/>
  <c r="BU70" i="25"/>
  <c r="BU56" i="25"/>
  <c r="BU48" i="25"/>
  <c r="BV43" i="25"/>
  <c r="BX43" i="25" s="1"/>
  <c r="BY43" i="25" s="1"/>
  <c r="BV57" i="25"/>
  <c r="BX57" i="25" s="1"/>
  <c r="BY57" i="25" s="1"/>
  <c r="BV73" i="25"/>
  <c r="BX73" i="25" s="1"/>
  <c r="BY73" i="25" s="1"/>
  <c r="BV66" i="25"/>
  <c r="BX66" i="25" s="1"/>
  <c r="BY66" i="25" s="1"/>
  <c r="BV84" i="25"/>
  <c r="BX84" i="25" s="1"/>
  <c r="BY84" i="25" s="1"/>
  <c r="BV99" i="25"/>
  <c r="BX99" i="25" s="1"/>
  <c r="BY99" i="25" s="1"/>
  <c r="BJ32" i="25"/>
  <c r="BV50" i="25"/>
  <c r="BX50" i="25" s="1"/>
  <c r="BY50" i="25" s="1"/>
  <c r="BJ50" i="25"/>
  <c r="BV31" i="25"/>
  <c r="BX31" i="25" s="1"/>
  <c r="BY31" i="25" s="1"/>
  <c r="BJ31" i="25"/>
  <c r="BV41" i="25"/>
  <c r="BX41" i="25" s="1"/>
  <c r="BY41" i="25" s="1"/>
  <c r="BJ41" i="25"/>
  <c r="BV17" i="25"/>
  <c r="BX17" i="25" s="1"/>
  <c r="BY17" i="25" s="1"/>
  <c r="BJ17" i="25"/>
  <c r="BV40" i="25"/>
  <c r="BX40" i="25" s="1"/>
  <c r="BY40" i="25" s="1"/>
  <c r="BJ40" i="25"/>
  <c r="BV78" i="25"/>
  <c r="BX78" i="25" s="1"/>
  <c r="BY78" i="25" s="1"/>
  <c r="BJ78" i="25"/>
  <c r="BV14" i="25"/>
  <c r="BX14" i="25" s="1"/>
  <c r="BY14" i="25" s="1"/>
  <c r="BJ14" i="25"/>
  <c r="BV82" i="25"/>
  <c r="BX82" i="25" s="1"/>
  <c r="BY82" i="25" s="1"/>
  <c r="BJ82" i="25"/>
  <c r="BV56" i="25"/>
  <c r="BX56" i="25" s="1"/>
  <c r="BY56" i="25" s="1"/>
  <c r="BJ56" i="25"/>
  <c r="BV26" i="25"/>
  <c r="BX26" i="25" s="1"/>
  <c r="BY26" i="25" s="1"/>
  <c r="BJ26" i="25"/>
  <c r="BV80" i="25"/>
  <c r="BX80" i="25" s="1"/>
  <c r="BY80" i="25" s="1"/>
  <c r="BJ80" i="25"/>
  <c r="BV20" i="25"/>
  <c r="BX20" i="25" s="1"/>
  <c r="BY20" i="25" s="1"/>
  <c r="BJ20" i="25"/>
  <c r="BV81" i="25"/>
  <c r="BX81" i="25" s="1"/>
  <c r="BY81" i="25" s="1"/>
  <c r="BJ81" i="25"/>
  <c r="BJ8" i="25"/>
  <c r="BV8" i="25"/>
  <c r="BX8" i="25" s="1"/>
  <c r="BY8" i="25" s="1"/>
  <c r="BJ104" i="25"/>
  <c r="BV104" i="25"/>
  <c r="BX104" i="25" s="1"/>
  <c r="BY104" i="25" s="1"/>
  <c r="BV64" i="25"/>
  <c r="BX64" i="25" s="1"/>
  <c r="BY64" i="25" s="1"/>
  <c r="BJ64" i="25"/>
  <c r="BJ94" i="25"/>
  <c r="BV94" i="25"/>
  <c r="BX94" i="25" s="1"/>
  <c r="BY94" i="25" s="1"/>
  <c r="BV21" i="25"/>
  <c r="BX21" i="25" s="1"/>
  <c r="BY21" i="25" s="1"/>
  <c r="BJ21" i="25"/>
  <c r="BV45" i="25"/>
  <c r="BX45" i="25" s="1"/>
  <c r="BY45" i="25" s="1"/>
  <c r="BJ45" i="25"/>
  <c r="BV49" i="25"/>
  <c r="BX49" i="25" s="1"/>
  <c r="BY49" i="25" s="1"/>
  <c r="BJ49" i="25"/>
  <c r="BV29" i="25"/>
  <c r="BX29" i="25" s="1"/>
  <c r="BY29" i="25" s="1"/>
  <c r="BJ29" i="25"/>
  <c r="BV22" i="25"/>
  <c r="BX22" i="25" s="1"/>
  <c r="BY22" i="25" s="1"/>
  <c r="BJ22" i="25"/>
  <c r="BV11" i="25"/>
  <c r="BX11" i="25" s="1"/>
  <c r="BY11" i="25" s="1"/>
  <c r="BJ11" i="25"/>
  <c r="BV79" i="25"/>
  <c r="BX79" i="25" s="1"/>
  <c r="BY79" i="25" s="1"/>
  <c r="BJ79" i="25"/>
  <c r="BV72" i="25"/>
  <c r="BX72" i="25" s="1"/>
  <c r="BY72" i="25" s="1"/>
  <c r="BJ72" i="25"/>
  <c r="BV44" i="25"/>
  <c r="BX44" i="25" s="1"/>
  <c r="BJ44" i="25"/>
  <c r="BV30" i="25"/>
  <c r="BX30" i="25" s="1"/>
  <c r="BY30" i="25" s="1"/>
  <c r="BJ30" i="25"/>
  <c r="BV47" i="25"/>
  <c r="BX47" i="25" s="1"/>
  <c r="BJ47" i="25"/>
  <c r="BV16" i="25"/>
  <c r="BX16" i="25" s="1"/>
  <c r="BY16" i="25" s="1"/>
  <c r="BJ16" i="25"/>
  <c r="BV39" i="25"/>
  <c r="BX39" i="25" s="1"/>
  <c r="BY39" i="25" s="1"/>
  <c r="BJ39" i="25"/>
  <c r="BV88" i="25"/>
  <c r="BX88" i="25" s="1"/>
  <c r="BY88" i="25" s="1"/>
  <c r="BJ88" i="25"/>
  <c r="BJ100" i="25"/>
  <c r="BV100" i="25"/>
  <c r="BX100" i="25" s="1"/>
  <c r="BY100" i="25" s="1"/>
  <c r="BJ93" i="25"/>
  <c r="BV93" i="25"/>
  <c r="BX93" i="25" s="1"/>
  <c r="BY93" i="25" s="1"/>
  <c r="BJ102" i="25"/>
  <c r="BV102" i="25"/>
  <c r="BX102" i="25" s="1"/>
  <c r="BV42" i="25"/>
  <c r="BX42" i="25" s="1"/>
  <c r="BY42" i="25" s="1"/>
  <c r="BJ42" i="25"/>
  <c r="BJ10" i="25"/>
  <c r="BV10" i="25"/>
  <c r="BX10" i="25" s="1"/>
  <c r="BY10" i="25" s="1"/>
  <c r="BV34" i="25"/>
  <c r="BX34" i="25" s="1"/>
  <c r="BY34" i="25" s="1"/>
  <c r="BJ34" i="25"/>
  <c r="BV71" i="25"/>
  <c r="BX71" i="25" s="1"/>
  <c r="BY71" i="25" s="1"/>
  <c r="BJ71" i="25"/>
  <c r="BV62" i="25"/>
  <c r="BX62" i="25" s="1"/>
  <c r="BY62" i="25" s="1"/>
  <c r="BJ62" i="25"/>
  <c r="BV28" i="25"/>
  <c r="BX28" i="25" s="1"/>
  <c r="BY28" i="25" s="1"/>
  <c r="BJ28" i="25"/>
  <c r="BV63" i="25"/>
  <c r="BX63" i="25" s="1"/>
  <c r="BY63" i="25" s="1"/>
  <c r="BJ63" i="25"/>
  <c r="BV68" i="25"/>
  <c r="BX68" i="25" s="1"/>
  <c r="BY68" i="25" s="1"/>
  <c r="BJ68" i="25"/>
  <c r="BV25" i="25"/>
  <c r="BX25" i="25" s="1"/>
  <c r="BY25" i="25" s="1"/>
  <c r="BJ25" i="25"/>
  <c r="BV83" i="25"/>
  <c r="BX83" i="25" s="1"/>
  <c r="BY83" i="25" s="1"/>
  <c r="BJ83" i="25"/>
  <c r="BV75" i="25"/>
  <c r="BX75" i="25" s="1"/>
  <c r="BY75" i="25" s="1"/>
  <c r="BJ75" i="25"/>
  <c r="BV61" i="25"/>
  <c r="BX61" i="25" s="1"/>
  <c r="BY61" i="25" s="1"/>
  <c r="BJ61" i="25"/>
  <c r="BV35" i="25"/>
  <c r="BX35" i="25" s="1"/>
  <c r="BY35" i="25" s="1"/>
  <c r="BJ35" i="25"/>
  <c r="BJ97" i="25"/>
  <c r="BV97" i="25"/>
  <c r="BX97" i="25" s="1"/>
  <c r="BY97" i="25" s="1"/>
  <c r="BV52" i="25"/>
  <c r="BX52" i="25" s="1"/>
  <c r="BY52" i="25" s="1"/>
  <c r="BJ52" i="25"/>
  <c r="BV86" i="25"/>
  <c r="BX86" i="25" s="1"/>
  <c r="BY86" i="25" s="1"/>
  <c r="BJ86" i="25"/>
  <c r="BV54" i="25"/>
  <c r="BX54" i="25" s="1"/>
  <c r="BY54" i="25" s="1"/>
  <c r="BJ54" i="25"/>
  <c r="BV46" i="25"/>
  <c r="BX46" i="25" s="1"/>
  <c r="BY46" i="25" s="1"/>
  <c r="BJ46" i="25"/>
  <c r="BJ96" i="25"/>
  <c r="BV96" i="25"/>
  <c r="BX96" i="25" s="1"/>
  <c r="BY96" i="25" s="1"/>
  <c r="BV38" i="25"/>
  <c r="BX38" i="25" s="1"/>
  <c r="BY38" i="25" s="1"/>
  <c r="BJ38" i="25"/>
  <c r="BV15" i="25"/>
  <c r="BX15" i="25" s="1"/>
  <c r="BY15" i="25" s="1"/>
  <c r="BJ15" i="25"/>
  <c r="BV19" i="25"/>
  <c r="BX19" i="25" s="1"/>
  <c r="BY19" i="25" s="1"/>
  <c r="BJ19" i="25"/>
  <c r="BJ91" i="25"/>
  <c r="BV91" i="25"/>
  <c r="BX91" i="25" s="1"/>
  <c r="BY91" i="25" s="1"/>
  <c r="BJ92" i="25"/>
  <c r="BV92" i="25"/>
  <c r="BX92" i="25" s="1"/>
  <c r="BY92" i="25" s="1"/>
  <c r="BV36" i="25"/>
  <c r="BX36" i="25" s="1"/>
  <c r="BY36" i="25" s="1"/>
  <c r="BJ36" i="25"/>
  <c r="BV87" i="25"/>
  <c r="BX87" i="25" s="1"/>
  <c r="BY87" i="25" s="1"/>
  <c r="BJ87" i="25"/>
  <c r="BJ101" i="25"/>
  <c r="BV101" i="25"/>
  <c r="BX101" i="25" s="1"/>
  <c r="BY101" i="25" s="1"/>
  <c r="BV76" i="25"/>
  <c r="BX76" i="25" s="1"/>
  <c r="BY76" i="25" s="1"/>
  <c r="BJ76" i="25"/>
  <c r="BV12" i="25"/>
  <c r="BX12" i="25" s="1"/>
  <c r="BY12" i="25" s="1"/>
  <c r="BJ12" i="25"/>
  <c r="BV53" i="25"/>
  <c r="BX53" i="25" s="1"/>
  <c r="BY53" i="25" s="1"/>
  <c r="BJ53" i="25"/>
  <c r="BV51" i="25"/>
  <c r="BX51" i="25" s="1"/>
  <c r="BY51" i="25" s="1"/>
  <c r="BJ51" i="25"/>
  <c r="BV37" i="25"/>
  <c r="BX37" i="25" s="1"/>
  <c r="BY37" i="25" s="1"/>
  <c r="BJ37" i="25"/>
  <c r="BJ103" i="25"/>
  <c r="BV103" i="25"/>
  <c r="BX103" i="25" s="1"/>
  <c r="BV27" i="25"/>
  <c r="BX27" i="25" s="1"/>
  <c r="BY27" i="25" s="1"/>
  <c r="BJ27" i="25"/>
  <c r="BV70" i="25"/>
  <c r="BX70" i="25" s="1"/>
  <c r="BJ70" i="25"/>
  <c r="BV48" i="25"/>
  <c r="BX48" i="25" s="1"/>
  <c r="BY48" i="25" s="1"/>
  <c r="BJ48" i="25"/>
  <c r="BJ105" i="25"/>
  <c r="E45" i="1" s="1"/>
  <c r="E46" i="1" s="1"/>
  <c r="BV105" i="25"/>
  <c r="BX105" i="25" s="1"/>
  <c r="BY105" i="25" s="1"/>
  <c r="BV77" i="25"/>
  <c r="BX77" i="25" s="1"/>
  <c r="BY77" i="25" s="1"/>
  <c r="BJ77" i="25"/>
  <c r="BV69" i="25"/>
  <c r="BX69" i="25" s="1"/>
  <c r="BY69" i="25" s="1"/>
  <c r="BJ69" i="25"/>
  <c r="BV74" i="25"/>
  <c r="BX74" i="25" s="1"/>
  <c r="BJ74" i="25"/>
  <c r="BV13" i="25"/>
  <c r="BX13" i="25" s="1"/>
  <c r="BY13" i="25" s="1"/>
  <c r="BJ13" i="25"/>
  <c r="BV89" i="25"/>
  <c r="BX89" i="25" s="1"/>
  <c r="BJ89" i="25"/>
  <c r="BV24" i="25"/>
  <c r="BX24" i="25" s="1"/>
  <c r="BY24" i="25" s="1"/>
  <c r="BJ24" i="25"/>
  <c r="BV59" i="25"/>
  <c r="BX59" i="25" s="1"/>
  <c r="BY59" i="25" s="1"/>
  <c r="BJ59" i="25"/>
  <c r="BV67" i="25"/>
  <c r="BX67" i="25" s="1"/>
  <c r="BJ67" i="25"/>
  <c r="BV23" i="25"/>
  <c r="BX23" i="25" s="1"/>
  <c r="BY23" i="25" s="1"/>
  <c r="BJ23" i="25"/>
  <c r="BJ7" i="25"/>
  <c r="BV7" i="25"/>
  <c r="BX7" i="25" s="1"/>
  <c r="BY7" i="25" s="1"/>
  <c r="BJ9" i="25"/>
  <c r="BV9" i="25"/>
  <c r="BX9" i="25" s="1"/>
  <c r="BY9" i="25" s="1"/>
  <c r="BJ6" i="25"/>
  <c r="BV6" i="25"/>
  <c r="BX6" i="25" s="1"/>
  <c r="BY6" i="25" s="1"/>
  <c r="BV79" i="24"/>
  <c r="BX79" i="24" s="1"/>
  <c r="BY79" i="24" s="1"/>
  <c r="BV89" i="24"/>
  <c r="BX89" i="24" s="1"/>
  <c r="BY89" i="24" s="1"/>
  <c r="BV14" i="24"/>
  <c r="BX14" i="24" s="1"/>
  <c r="BY14" i="24" s="1"/>
  <c r="BV21" i="24"/>
  <c r="BX21" i="24" s="1"/>
  <c r="BY21" i="24" s="1"/>
  <c r="BV92" i="24"/>
  <c r="BX92" i="24" s="1"/>
  <c r="BY92" i="24" s="1"/>
  <c r="BL72" i="24"/>
  <c r="BV72" i="24"/>
  <c r="BX72" i="24" s="1"/>
  <c r="BY72" i="24" s="1"/>
  <c r="BL63" i="24"/>
  <c r="BV63" i="24"/>
  <c r="BX63" i="24" s="1"/>
  <c r="BL60" i="24"/>
  <c r="BV60" i="24"/>
  <c r="BX60" i="24" s="1"/>
  <c r="BY60" i="24" s="1"/>
  <c r="BV85" i="24"/>
  <c r="BX85" i="24" s="1"/>
  <c r="BY85" i="24" s="1"/>
  <c r="BV78" i="24"/>
  <c r="BX78" i="24" s="1"/>
  <c r="BY78" i="24" s="1"/>
  <c r="BL18" i="24"/>
  <c r="BV18" i="24"/>
  <c r="BX18" i="24" s="1"/>
  <c r="BY18" i="24" s="1"/>
  <c r="BL56" i="24"/>
  <c r="BV56" i="24"/>
  <c r="BX56" i="24" s="1"/>
  <c r="BY56" i="24" s="1"/>
  <c r="BL19" i="24"/>
  <c r="BV19" i="24"/>
  <c r="BX19" i="24" s="1"/>
  <c r="BY19" i="24" s="1"/>
  <c r="BL10" i="24"/>
  <c r="BV10" i="24"/>
  <c r="BX10" i="24" s="1"/>
  <c r="BY10" i="24" s="1"/>
  <c r="BL28" i="24"/>
  <c r="BV28" i="24"/>
  <c r="BX28" i="24" s="1"/>
  <c r="BY28" i="24" s="1"/>
  <c r="BL25" i="24"/>
  <c r="BV25" i="24"/>
  <c r="BX25" i="24" s="1"/>
  <c r="BY25" i="24" s="1"/>
  <c r="BV59" i="24"/>
  <c r="BX59" i="24" s="1"/>
  <c r="BY59" i="24" s="1"/>
  <c r="BV29" i="24"/>
  <c r="BX29" i="24" s="1"/>
  <c r="BY29" i="24" s="1"/>
  <c r="BV96" i="24"/>
  <c r="BX96" i="24" s="1"/>
  <c r="BY96" i="24" s="1"/>
  <c r="BV74" i="24"/>
  <c r="BX74" i="24" s="1"/>
  <c r="BL31" i="24"/>
  <c r="BV31" i="24"/>
  <c r="BX31" i="24" s="1"/>
  <c r="BY31" i="24" s="1"/>
  <c r="BL55" i="24"/>
  <c r="BV55" i="24"/>
  <c r="BX55" i="24" s="1"/>
  <c r="BY55" i="24" s="1"/>
  <c r="B255" i="2" s="1"/>
  <c r="BL70" i="24"/>
  <c r="BV70" i="24"/>
  <c r="BX70" i="24" s="1"/>
  <c r="BY70" i="24" s="1"/>
  <c r="BL50" i="24"/>
  <c r="BV50" i="24"/>
  <c r="BX50" i="24" s="1"/>
  <c r="BV95" i="24"/>
  <c r="BX95" i="24" s="1"/>
  <c r="BY95" i="24" s="1"/>
  <c r="BV54" i="24"/>
  <c r="BX54" i="24" s="1"/>
  <c r="BY54" i="24" s="1"/>
  <c r="BL46" i="24"/>
  <c r="BV46" i="24"/>
  <c r="BX46" i="24" s="1"/>
  <c r="BY46" i="24" s="1"/>
  <c r="BL101" i="24"/>
  <c r="BV101" i="24"/>
  <c r="BX101" i="24" s="1"/>
  <c r="BY101" i="24" s="1"/>
  <c r="BL42" i="24"/>
  <c r="BV42" i="24"/>
  <c r="BX42" i="24" s="1"/>
  <c r="BY42" i="24" s="1"/>
  <c r="BL83" i="24"/>
  <c r="BV83" i="24"/>
  <c r="BX83" i="24" s="1"/>
  <c r="BY83" i="24" s="1"/>
  <c r="BV100" i="24"/>
  <c r="BX100" i="24" s="1"/>
  <c r="BY100" i="24" s="1"/>
  <c r="BL100" i="24"/>
  <c r="BV68" i="24"/>
  <c r="BX68" i="24" s="1"/>
  <c r="BY68" i="24" s="1"/>
  <c r="BV105" i="24"/>
  <c r="BX105" i="24" s="1"/>
  <c r="BY105" i="24" s="1"/>
  <c r="BV36" i="24"/>
  <c r="BX36" i="24" s="1"/>
  <c r="BY36" i="24" s="1"/>
  <c r="BV82" i="24"/>
  <c r="BX82" i="24" s="1"/>
  <c r="BY82" i="24" s="1"/>
  <c r="BV91" i="24"/>
  <c r="BX91" i="24" s="1"/>
  <c r="BY91" i="24" s="1"/>
  <c r="BV87" i="24"/>
  <c r="BX87" i="24" s="1"/>
  <c r="BY87" i="24" s="1"/>
  <c r="BV41" i="24"/>
  <c r="BX41" i="24" s="1"/>
  <c r="BY41" i="24" s="1"/>
  <c r="F66" i="19"/>
  <c r="J9" i="8"/>
  <c r="BY197" i="25" l="1"/>
  <c r="CC197" i="25"/>
  <c r="BV165" i="24"/>
  <c r="BX165" i="24" s="1"/>
  <c r="BY165" i="24" s="1"/>
  <c r="BY190" i="25"/>
  <c r="CC190" i="25"/>
  <c r="BY70" i="25"/>
  <c r="CC70" i="25"/>
  <c r="BY152" i="25"/>
  <c r="CC152" i="25"/>
  <c r="BY184" i="25"/>
  <c r="CC184" i="25"/>
  <c r="BY167" i="25"/>
  <c r="CC167" i="25"/>
  <c r="BY176" i="25"/>
  <c r="CC176" i="25"/>
  <c r="BY179" i="25"/>
  <c r="CC179" i="25"/>
  <c r="BY89" i="25"/>
  <c r="CC89" i="25"/>
  <c r="BY204" i="24"/>
  <c r="CC204" i="24"/>
  <c r="BY98" i="25"/>
  <c r="CC98" i="25"/>
  <c r="BY177" i="25"/>
  <c r="CC177" i="25"/>
  <c r="BY203" i="25"/>
  <c r="CC203" i="25"/>
  <c r="BY166" i="25"/>
  <c r="CC166" i="25"/>
  <c r="BY179" i="24"/>
  <c r="CC179" i="24"/>
  <c r="BY74" i="25"/>
  <c r="CC74" i="25"/>
  <c r="BY146" i="25"/>
  <c r="CC146" i="25"/>
  <c r="BY154" i="24"/>
  <c r="CC154" i="24"/>
  <c r="BY74" i="24"/>
  <c r="CC74" i="24"/>
  <c r="BY164" i="25"/>
  <c r="CC164" i="25"/>
  <c r="BY190" i="24"/>
  <c r="CC190" i="24"/>
  <c r="BY170" i="25"/>
  <c r="CC170" i="25"/>
  <c r="BV167" i="24"/>
  <c r="BX167" i="24" s="1"/>
  <c r="BY167" i="24" s="1"/>
  <c r="BY139" i="24"/>
  <c r="CC139" i="24"/>
  <c r="BY50" i="24"/>
  <c r="CC50" i="24"/>
  <c r="BY44" i="25"/>
  <c r="CC44" i="25"/>
  <c r="BY135" i="25"/>
  <c r="CC135" i="25"/>
  <c r="BY47" i="25"/>
  <c r="CC47" i="25"/>
  <c r="BY67" i="25"/>
  <c r="CC67" i="25"/>
  <c r="BY160" i="24"/>
  <c r="CC160" i="24"/>
  <c r="BY144" i="25"/>
  <c r="CC144" i="25"/>
  <c r="BY174" i="25"/>
  <c r="CC174" i="25"/>
  <c r="BY103" i="25"/>
  <c r="CC103" i="25"/>
  <c r="BY207" i="24"/>
  <c r="CC207" i="24"/>
  <c r="BY206" i="25"/>
  <c r="CC206" i="25"/>
  <c r="BY173" i="25"/>
  <c r="CC173" i="25"/>
  <c r="BY102" i="25"/>
  <c r="CC102" i="25"/>
  <c r="BY63" i="24"/>
  <c r="BV115" i="24"/>
  <c r="BX115" i="24" s="1"/>
  <c r="BY115" i="24" s="1"/>
  <c r="BY150" i="24"/>
  <c r="CC150" i="24"/>
  <c r="BV110" i="25"/>
  <c r="BX110" i="25" s="1"/>
  <c r="BY110" i="25" s="1"/>
  <c r="BJ110" i="25"/>
  <c r="BV86" i="24"/>
  <c r="BX86" i="24" s="1"/>
  <c r="BY86" i="24" s="1"/>
  <c r="BV97" i="24"/>
  <c r="BX97" i="24" s="1"/>
  <c r="BY97" i="24" s="1"/>
  <c r="BL119" i="24"/>
  <c r="BV119" i="24"/>
  <c r="BX119" i="24" s="1"/>
  <c r="BY119" i="24" s="1"/>
  <c r="BV168" i="24"/>
  <c r="BX168" i="24" s="1"/>
  <c r="BL168" i="24"/>
  <c r="BV156" i="24"/>
  <c r="BX156" i="24" s="1"/>
  <c r="BY156" i="24" s="1"/>
  <c r="BL156" i="24"/>
  <c r="BL195" i="24"/>
  <c r="BV195" i="24"/>
  <c r="BX195" i="24" s="1"/>
  <c r="BY195" i="24" s="1"/>
  <c r="BL155" i="24"/>
  <c r="BV155" i="24"/>
  <c r="BX155" i="24" s="1"/>
  <c r="BY155" i="24" s="1"/>
  <c r="BV181" i="24"/>
  <c r="BX181" i="24" s="1"/>
  <c r="BY181" i="24" s="1"/>
  <c r="BU181" i="24"/>
  <c r="BV176" i="24"/>
  <c r="BX176" i="24" s="1"/>
  <c r="BY176" i="24" s="1"/>
  <c r="BL176" i="24"/>
  <c r="BV206" i="24"/>
  <c r="BX206" i="24" s="1"/>
  <c r="BY206" i="24" s="1"/>
  <c r="BL206" i="24"/>
  <c r="BV210" i="24"/>
  <c r="BX210" i="24" s="1"/>
  <c r="BY210" i="24" s="1"/>
  <c r="BL210" i="24"/>
  <c r="BV130" i="24"/>
  <c r="BX130" i="24" s="1"/>
  <c r="BY130" i="24" s="1"/>
  <c r="BL130" i="24"/>
  <c r="BV192" i="24"/>
  <c r="BX192" i="24" s="1"/>
  <c r="BY192" i="24" s="1"/>
  <c r="BL192" i="24"/>
  <c r="BV189" i="24"/>
  <c r="BX189" i="24" s="1"/>
  <c r="BY189" i="24" s="1"/>
  <c r="BU189" i="24"/>
  <c r="BV194" i="24"/>
  <c r="BX194" i="24" s="1"/>
  <c r="BL194" i="24"/>
  <c r="BV136" i="24"/>
  <c r="BX136" i="24" s="1"/>
  <c r="BY136" i="24" s="1"/>
  <c r="BL136" i="24"/>
  <c r="BL159" i="24"/>
  <c r="BV159" i="24"/>
  <c r="BX159" i="24" s="1"/>
  <c r="BY159" i="24" s="1"/>
  <c r="BL203" i="24"/>
  <c r="BV203" i="24"/>
  <c r="BX203" i="24" s="1"/>
  <c r="BY203" i="24" s="1"/>
  <c r="BV141" i="24"/>
  <c r="BX141" i="24" s="1"/>
  <c r="BY141" i="24" s="1"/>
  <c r="BL141" i="24"/>
  <c r="BV188" i="24"/>
  <c r="BX188" i="24" s="1"/>
  <c r="BY188" i="24" s="1"/>
  <c r="BL188" i="24"/>
  <c r="BV193" i="24"/>
  <c r="BX193" i="24" s="1"/>
  <c r="BY193" i="24" s="1"/>
  <c r="BL193" i="24"/>
  <c r="BV149" i="24"/>
  <c r="BX149" i="24" s="1"/>
  <c r="BY149" i="24" s="1"/>
  <c r="BL149" i="24"/>
  <c r="BV169" i="24"/>
  <c r="BX169" i="24" s="1"/>
  <c r="BY169" i="24" s="1"/>
  <c r="BL169" i="24"/>
  <c r="BV161" i="24"/>
  <c r="BX161" i="24" s="1"/>
  <c r="BY161" i="24" s="1"/>
  <c r="BL161" i="24"/>
  <c r="BL123" i="24"/>
  <c r="BV123" i="24"/>
  <c r="BX123" i="24" s="1"/>
  <c r="BY123" i="24" s="1"/>
  <c r="BV110" i="24"/>
  <c r="BX110" i="24" s="1"/>
  <c r="BY110" i="24" s="1"/>
  <c r="BL110" i="24"/>
  <c r="BV112" i="24"/>
  <c r="BX112" i="24" s="1"/>
  <c r="BY112" i="24" s="1"/>
  <c r="BL112" i="24"/>
  <c r="BV172" i="24"/>
  <c r="BX172" i="24" s="1"/>
  <c r="BY172" i="24" s="1"/>
  <c r="BL172" i="24"/>
  <c r="BL191" i="24"/>
  <c r="BV191" i="24"/>
  <c r="BX191" i="24" s="1"/>
  <c r="BY191" i="24" s="1"/>
  <c r="BV134" i="24"/>
  <c r="BX134" i="24" s="1"/>
  <c r="BY134" i="24" s="1"/>
  <c r="BL134" i="24"/>
  <c r="BV209" i="24"/>
  <c r="BX209" i="24" s="1"/>
  <c r="BL209" i="24"/>
  <c r="BV182" i="24"/>
  <c r="BX182" i="24" s="1"/>
  <c r="BY182" i="24" s="1"/>
  <c r="BU182" i="24"/>
  <c r="BV114" i="24"/>
  <c r="BX114" i="24" s="1"/>
  <c r="BY114" i="24" s="1"/>
  <c r="BL114" i="24"/>
  <c r="BL199" i="24"/>
  <c r="BV199" i="24"/>
  <c r="BX199" i="24" s="1"/>
  <c r="BV208" i="24"/>
  <c r="BX208" i="24" s="1"/>
  <c r="BY208" i="24" s="1"/>
  <c r="BL208" i="24"/>
  <c r="BL73" i="24"/>
  <c r="BL51" i="24"/>
  <c r="BV33" i="24"/>
  <c r="BX33" i="24" s="1"/>
  <c r="BY33" i="24" s="1"/>
  <c r="BV43" i="24"/>
  <c r="BX43" i="24" s="1"/>
  <c r="BY43" i="24" s="1"/>
  <c r="BV49" i="24"/>
  <c r="BX49" i="24" s="1"/>
  <c r="BY49" i="24" s="1"/>
  <c r="BU23" i="24"/>
  <c r="BV27" i="24"/>
  <c r="BX27" i="24" s="1"/>
  <c r="BY27" i="24" s="1"/>
  <c r="BU64" i="24"/>
  <c r="BV88" i="24"/>
  <c r="BX88" i="24" s="1"/>
  <c r="BY88" i="24" s="1"/>
  <c r="BV81" i="24"/>
  <c r="BX81" i="24" s="1"/>
  <c r="BY81" i="24" s="1"/>
  <c r="BV65" i="24"/>
  <c r="BX65" i="24" s="1"/>
  <c r="BY65" i="24" s="1"/>
  <c r="BV35" i="24"/>
  <c r="BX35" i="24" s="1"/>
  <c r="BY35" i="24" s="1"/>
  <c r="BG71" i="24"/>
  <c r="BQ71" i="24"/>
  <c r="BU71" i="24" s="1"/>
  <c r="BG13" i="24"/>
  <c r="BQ13" i="24"/>
  <c r="BU13" i="24" s="1"/>
  <c r="BG15" i="24"/>
  <c r="BQ15" i="24"/>
  <c r="BU15" i="24" s="1"/>
  <c r="BG102" i="24"/>
  <c r="BQ102" i="24"/>
  <c r="BU102" i="24" s="1"/>
  <c r="BG48" i="24"/>
  <c r="BQ48" i="24"/>
  <c r="BU48" i="24" s="1"/>
  <c r="BG93" i="24"/>
  <c r="BQ93" i="24"/>
  <c r="BU93" i="24" s="1"/>
  <c r="BQ37" i="24"/>
  <c r="BU37" i="24" s="1"/>
  <c r="BG37" i="24"/>
  <c r="BG8" i="24"/>
  <c r="BQ8" i="24"/>
  <c r="BU8" i="24" s="1"/>
  <c r="BG94" i="24"/>
  <c r="BQ94" i="24"/>
  <c r="BU94" i="24" s="1"/>
  <c r="BG16" i="24"/>
  <c r="BQ16" i="24"/>
  <c r="BU16" i="24" s="1"/>
  <c r="BG45" i="24"/>
  <c r="BQ45" i="24"/>
  <c r="BU45" i="24" s="1"/>
  <c r="BG30" i="24"/>
  <c r="BQ30" i="24"/>
  <c r="BU30" i="24" s="1"/>
  <c r="BG61" i="24"/>
  <c r="BQ61" i="24"/>
  <c r="BU61" i="24" s="1"/>
  <c r="BG76" i="24"/>
  <c r="BQ76" i="24"/>
  <c r="BU76" i="24" s="1"/>
  <c r="BG103" i="24"/>
  <c r="BQ103" i="24"/>
  <c r="BU103" i="24" s="1"/>
  <c r="BQ98" i="24"/>
  <c r="BU98" i="24" s="1"/>
  <c r="BG98" i="24"/>
  <c r="BG99" i="24"/>
  <c r="BQ99" i="24"/>
  <c r="BU99" i="24" s="1"/>
  <c r="BG17" i="24"/>
  <c r="BQ17" i="24"/>
  <c r="BU17" i="24" s="1"/>
  <c r="BG47" i="24"/>
  <c r="BQ47" i="24"/>
  <c r="BU47" i="24" s="1"/>
  <c r="BG9" i="24"/>
  <c r="BQ9" i="24"/>
  <c r="BU9" i="24" s="1"/>
  <c r="BG12" i="24"/>
  <c r="BQ12" i="24"/>
  <c r="BU12" i="24" s="1"/>
  <c r="BQ44" i="24"/>
  <c r="BU44" i="24" s="1"/>
  <c r="BG44" i="24"/>
  <c r="BG24" i="24"/>
  <c r="BQ24" i="24"/>
  <c r="BU24" i="24" s="1"/>
  <c r="BG77" i="24"/>
  <c r="BQ77" i="24"/>
  <c r="BU77" i="24" s="1"/>
  <c r="BQ38" i="24"/>
  <c r="BU38" i="24" s="1"/>
  <c r="BG38" i="24"/>
  <c r="BQ66" i="24"/>
  <c r="BU66" i="24" s="1"/>
  <c r="BG66" i="24"/>
  <c r="BG57" i="24"/>
  <c r="BQ57" i="24"/>
  <c r="BU57" i="24" s="1"/>
  <c r="BG62" i="24"/>
  <c r="BQ62" i="24"/>
  <c r="BU62" i="24" s="1"/>
  <c r="BQ58" i="24"/>
  <c r="BU58" i="24" s="1"/>
  <c r="BG58" i="24"/>
  <c r="BG80" i="24"/>
  <c r="BQ80" i="24"/>
  <c r="BU80" i="24" s="1"/>
  <c r="BQ20" i="24"/>
  <c r="BU20" i="24" s="1"/>
  <c r="BG20" i="24"/>
  <c r="BG26" i="24"/>
  <c r="BQ26" i="24"/>
  <c r="BU26" i="24" s="1"/>
  <c r="BG11" i="24"/>
  <c r="BQ11" i="24"/>
  <c r="BU11" i="24" s="1"/>
  <c r="BG39" i="24"/>
  <c r="BQ39" i="24"/>
  <c r="BU39" i="24" s="1"/>
  <c r="BG84" i="24"/>
  <c r="BQ84" i="24"/>
  <c r="BU84" i="24" s="1"/>
  <c r="BG67" i="24"/>
  <c r="BQ67" i="24"/>
  <c r="BU67" i="24" s="1"/>
  <c r="BG75" i="24"/>
  <c r="BQ75" i="24"/>
  <c r="BU75" i="24" s="1"/>
  <c r="BG52" i="24"/>
  <c r="BQ52" i="24"/>
  <c r="BU52" i="24" s="1"/>
  <c r="BQ90" i="24"/>
  <c r="BU90" i="24" s="1"/>
  <c r="BG90" i="24"/>
  <c r="BG6" i="24"/>
  <c r="BQ6" i="24"/>
  <c r="BU6" i="24" s="1"/>
  <c r="BG7" i="24"/>
  <c r="BQ7" i="24"/>
  <c r="BU7" i="24" s="1"/>
  <c r="B167" i="2"/>
  <c r="C44" i="16" s="1"/>
  <c r="B254" i="2"/>
  <c r="BJ5" i="25"/>
  <c r="BV5" i="25"/>
  <c r="BX5" i="25" s="1"/>
  <c r="BY5" i="25" s="1"/>
  <c r="BU5" i="25"/>
  <c r="BY194" i="24" l="1"/>
  <c r="CC194" i="24"/>
  <c r="BY209" i="24"/>
  <c r="CC209" i="24"/>
  <c r="BY199" i="24"/>
  <c r="CC199" i="24"/>
  <c r="CC211" i="25"/>
  <c r="BY168" i="24"/>
  <c r="CC168" i="24"/>
  <c r="BL71" i="24"/>
  <c r="BV71" i="24"/>
  <c r="BX71" i="24" s="1"/>
  <c r="BY71" i="24" s="1"/>
  <c r="BL13" i="24"/>
  <c r="BV13" i="24"/>
  <c r="BX13" i="24" s="1"/>
  <c r="BY13" i="24" s="1"/>
  <c r="BL15" i="24"/>
  <c r="BV15" i="24"/>
  <c r="BX15" i="24" s="1"/>
  <c r="BY15" i="24" s="1"/>
  <c r="B256" i="2" s="1"/>
  <c r="BL48" i="24"/>
  <c r="BV48" i="24"/>
  <c r="BX48" i="24" s="1"/>
  <c r="BY48" i="24" s="1"/>
  <c r="BL102" i="24"/>
  <c r="BV102" i="24"/>
  <c r="BX102" i="24" s="1"/>
  <c r="BY102" i="24" s="1"/>
  <c r="BL93" i="24"/>
  <c r="BV93" i="24"/>
  <c r="BX93" i="24" s="1"/>
  <c r="BY93" i="24" s="1"/>
  <c r="BV37" i="24"/>
  <c r="BX37" i="24" s="1"/>
  <c r="BY37" i="24" s="1"/>
  <c r="BL37" i="24"/>
  <c r="BL8" i="24"/>
  <c r="BV8" i="24"/>
  <c r="BX8" i="24" s="1"/>
  <c r="BY8" i="24" s="1"/>
  <c r="BL94" i="24"/>
  <c r="BV94" i="24"/>
  <c r="BX94" i="24" s="1"/>
  <c r="BY94" i="24" s="1"/>
  <c r="BL20" i="24"/>
  <c r="BV20" i="24"/>
  <c r="BX20" i="24" s="1"/>
  <c r="BY20" i="24" s="1"/>
  <c r="BV58" i="24"/>
  <c r="BX58" i="24" s="1"/>
  <c r="BY58" i="24" s="1"/>
  <c r="BL58" i="24"/>
  <c r="BV38" i="24"/>
  <c r="BX38" i="24" s="1"/>
  <c r="BY38" i="24" s="1"/>
  <c r="BL38" i="24"/>
  <c r="BL84" i="24"/>
  <c r="BV84" i="24"/>
  <c r="BX84" i="24" s="1"/>
  <c r="BY84" i="24" s="1"/>
  <c r="BL24" i="24"/>
  <c r="BV24" i="24"/>
  <c r="BX24" i="24" s="1"/>
  <c r="BY24" i="24" s="1"/>
  <c r="BL103" i="24"/>
  <c r="BV103" i="24"/>
  <c r="BX103" i="24" s="1"/>
  <c r="BY103" i="24" s="1"/>
  <c r="BV98" i="24"/>
  <c r="BX98" i="24" s="1"/>
  <c r="BY98" i="24" s="1"/>
  <c r="BL98" i="24"/>
  <c r="BL75" i="24"/>
  <c r="BV75" i="24"/>
  <c r="BX75" i="24" s="1"/>
  <c r="BY75" i="24" s="1"/>
  <c r="BL11" i="24"/>
  <c r="BV11" i="24"/>
  <c r="BX11" i="24" s="1"/>
  <c r="BY11" i="24" s="1"/>
  <c r="BL57" i="24"/>
  <c r="BV57" i="24"/>
  <c r="BX57" i="24" s="1"/>
  <c r="BY57" i="24" s="1"/>
  <c r="BL12" i="24"/>
  <c r="BV12" i="24"/>
  <c r="BX12" i="24" s="1"/>
  <c r="BY12" i="24" s="1"/>
  <c r="BL47" i="24"/>
  <c r="BV47" i="24"/>
  <c r="BX47" i="24" s="1"/>
  <c r="BY47" i="24" s="1"/>
  <c r="BL99" i="24"/>
  <c r="BV99" i="24"/>
  <c r="BX99" i="24" s="1"/>
  <c r="BY99" i="24" s="1"/>
  <c r="BL61" i="24"/>
  <c r="BV61" i="24"/>
  <c r="BX61" i="24" s="1"/>
  <c r="BY61" i="24" s="1"/>
  <c r="BL45" i="24"/>
  <c r="BV45" i="24"/>
  <c r="BX45" i="24" s="1"/>
  <c r="BV66" i="24"/>
  <c r="BX66" i="24" s="1"/>
  <c r="BY66" i="24" s="1"/>
  <c r="BL66" i="24"/>
  <c r="BV44" i="24"/>
  <c r="BX44" i="24" s="1"/>
  <c r="BY44" i="24" s="1"/>
  <c r="BL44" i="24"/>
  <c r="BV90" i="24"/>
  <c r="BX90" i="24" s="1"/>
  <c r="BY90" i="24" s="1"/>
  <c r="BL90" i="24"/>
  <c r="BL52" i="24"/>
  <c r="BV52" i="24"/>
  <c r="BX52" i="24" s="1"/>
  <c r="BY52" i="24" s="1"/>
  <c r="BL67" i="24"/>
  <c r="BV67" i="24"/>
  <c r="BX67" i="24" s="1"/>
  <c r="BL39" i="24"/>
  <c r="BV39" i="24"/>
  <c r="BX39" i="24" s="1"/>
  <c r="BY39" i="24" s="1"/>
  <c r="BL26" i="24"/>
  <c r="BV26" i="24"/>
  <c r="BX26" i="24" s="1"/>
  <c r="BY26" i="24" s="1"/>
  <c r="BL80" i="24"/>
  <c r="BV80" i="24"/>
  <c r="BX80" i="24" s="1"/>
  <c r="BY80" i="24" s="1"/>
  <c r="BL62" i="24"/>
  <c r="BV62" i="24"/>
  <c r="BX62" i="24" s="1"/>
  <c r="BY62" i="24" s="1"/>
  <c r="BL77" i="24"/>
  <c r="BV77" i="24"/>
  <c r="BX77" i="24" s="1"/>
  <c r="BY77" i="24" s="1"/>
  <c r="BL9" i="24"/>
  <c r="BV9" i="24"/>
  <c r="BX9" i="24" s="1"/>
  <c r="BY9" i="24" s="1"/>
  <c r="BL17" i="24"/>
  <c r="BV17" i="24"/>
  <c r="BX17" i="24" s="1"/>
  <c r="BY17" i="24" s="1"/>
  <c r="BL76" i="24"/>
  <c r="BV76" i="24"/>
  <c r="BX76" i="24" s="1"/>
  <c r="BY76" i="24" s="1"/>
  <c r="BL30" i="24"/>
  <c r="BV30" i="24"/>
  <c r="BX30" i="24" s="1"/>
  <c r="BY30" i="24" s="1"/>
  <c r="BL16" i="24"/>
  <c r="BV16" i="24"/>
  <c r="BX16" i="24" s="1"/>
  <c r="BY16" i="24" s="1"/>
  <c r="BL7" i="24"/>
  <c r="BV7" i="24"/>
  <c r="BX7" i="24" s="1"/>
  <c r="BY7" i="24" s="1"/>
  <c r="BL6" i="24"/>
  <c r="BV6" i="24"/>
  <c r="BX6" i="24" s="1"/>
  <c r="BY6" i="24" s="1"/>
  <c r="B233" i="2"/>
  <c r="D44" i="16" s="1"/>
  <c r="E33" i="1"/>
  <c r="A233" i="2"/>
  <c r="CD211" i="24" l="1"/>
  <c r="L15" i="1" s="1"/>
  <c r="BY67" i="24"/>
  <c r="CC67" i="24"/>
  <c r="BY45"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Hegarty, Timothy</author>
  </authors>
  <commentList>
    <comment ref="A3" authorId="0" shapeId="0" xr:uid="{00000000-0006-0000-0000-000001000000}">
      <text>
        <r>
          <rPr>
            <b/>
            <sz val="11"/>
            <color indexed="10"/>
            <rFont val="Tahoma"/>
            <family val="2"/>
          </rPr>
          <t>Welcome to the LM5180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LM5180 low I</t>
        </r>
        <r>
          <rPr>
            <b/>
            <vertAlign val="subscript"/>
            <sz val="9"/>
            <color indexed="81"/>
            <rFont val="Tahoma"/>
            <family val="2"/>
          </rPr>
          <t>Q</t>
        </r>
        <r>
          <rPr>
            <b/>
            <sz val="9"/>
            <color indexed="81"/>
            <rFont val="Tahoma"/>
            <family val="2"/>
          </rPr>
          <t xml:space="preserve"> PSR flyback converter</t>
        </r>
        <r>
          <rPr>
            <sz val="9"/>
            <color indexed="81"/>
            <rFont val="Tahoma"/>
            <family val="2"/>
          </rPr>
          <t xml:space="preserve">. As such, the user can expeditiously arrive at an optimized design by virtue of the following:
- Select transformer parameters including turns ratio and mag inductance
- Determine input and output capacitances for specified ripple requirements (1% Vout and 5% Vin)
- Select components for feedback, soft-start, input UVLO, and temperature compensation
- Advise componnets (usually optional) for SW voltage clamp and and flyback diode snubber
- Optimize the design using efficiency and solution size as key performance metrics
- Inspect converter efficiency and switching frequency over load and line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u/>
            <sz val="9"/>
            <color indexed="12"/>
            <rFont val="Tahoma"/>
            <family val="2"/>
          </rPr>
          <t>http://www.ti.com/widevin/</t>
        </r>
        <r>
          <rPr>
            <sz val="9"/>
            <color indexed="81"/>
            <rFont val="Tahoma"/>
            <family val="2"/>
          </rPr>
          <t xml:space="preserve">
</t>
        </r>
        <r>
          <rPr>
            <b/>
            <sz val="9"/>
            <color indexed="81"/>
            <rFont val="Tahoma"/>
            <family val="2"/>
          </rPr>
          <t xml:space="preserve">
Rev 3.11, Timothy Hegarty, Texas Instruments, Inc.</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LM5180 product datasheet and EVM user's guide for more details.
</t>
        </r>
        <r>
          <rPr>
            <b/>
            <sz val="9"/>
            <color indexed="81"/>
            <rFont val="Tahoma"/>
            <family val="2"/>
          </rPr>
          <t>Rev 3.11, Timothy Hegarty,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LM5180 input voltage operating range is 4.5V to 70V.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70V</t>
        </r>
        <r>
          <rPr>
            <sz val="9"/>
            <color indexed="81"/>
            <rFont val="Tahoma"/>
            <family val="2"/>
          </rPr>
          <t xml:space="preserve">
-The input voltage is below </t>
        </r>
        <r>
          <rPr>
            <b/>
            <sz val="9"/>
            <color indexed="10"/>
            <rFont val="Tahoma"/>
            <family val="2"/>
          </rPr>
          <t>4.5V</t>
        </r>
      </text>
    </comment>
    <comment ref="M6" authorId="0" shapeId="0" xr:uid="{00000000-0006-0000-0000-000004000000}">
      <text>
        <r>
          <rPr>
            <b/>
            <u/>
            <sz val="9"/>
            <color indexed="81"/>
            <rFont val="Tahoma"/>
            <family val="2"/>
          </rPr>
          <t>Minimum Magnetizing Inductance</t>
        </r>
        <r>
          <rPr>
            <b/>
            <sz val="9"/>
            <color indexed="81"/>
            <rFont val="Tahoma"/>
            <family val="2"/>
          </rPr>
          <t xml:space="preserve">:
</t>
        </r>
        <r>
          <rPr>
            <sz val="9"/>
            <color indexed="81"/>
            <rFont val="Tahoma"/>
            <family val="2"/>
          </rPr>
          <t>The minimum magnetizing inductance is set by the off-time constraint at light loads (in FFM). The requirement is that the magnetizing current must not decrease to zero in less than 500ns.</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LM5180 input voltage operating range is 4.5V to 70V.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70V</t>
        </r>
        <r>
          <rPr>
            <sz val="9"/>
            <color indexed="81"/>
            <rFont val="Tahoma"/>
            <family val="2"/>
          </rPr>
          <t xml:space="preserve">
-The input voltage is below </t>
        </r>
        <r>
          <rPr>
            <b/>
            <sz val="9"/>
            <color indexed="10"/>
            <rFont val="Tahoma"/>
            <family val="2"/>
          </rPr>
          <t>4.5V</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here.
Lower inductance provides an earlier transition from FFM to DCM but pushes out (or entirely eliminates) BCM operation. The main priviso is that the rated output current is achieved at nominal input voltage.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causes the peak current at max input voltage...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LM5180 input voltage operating range is 4.5V to 70V.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70V</t>
        </r>
        <r>
          <rPr>
            <sz val="9"/>
            <color indexed="81"/>
            <rFont val="Tahoma"/>
            <family val="2"/>
          </rPr>
          <t xml:space="preserve">
-The input voltage is below </t>
        </r>
        <r>
          <rPr>
            <b/>
            <sz val="9"/>
            <color indexed="10"/>
            <rFont val="Tahoma"/>
            <family val="2"/>
          </rPr>
          <t>4.5V</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-The output power is above</t>
        </r>
        <r>
          <rPr>
            <b/>
            <sz val="9"/>
            <color indexed="10"/>
            <rFont val="Tahoma"/>
            <family val="2"/>
          </rPr>
          <t xml:space="preserve"> 7W (the output current causes current limit to engage)
</t>
        </r>
        <r>
          <rPr>
            <b/>
            <sz val="9"/>
            <color indexed="39"/>
            <rFont val="Tahoma"/>
            <family val="2"/>
          </rPr>
          <t xml:space="preserve">-The output current is below </t>
        </r>
        <r>
          <rPr>
            <b/>
            <sz val="9"/>
            <color indexed="10"/>
            <rFont val="Tahoma"/>
            <family val="2"/>
          </rPr>
          <t xml:space="preserve">10mA
</t>
        </r>
      </text>
    </comment>
    <comment ref="M14" authorId="0" shapeId="0" xr:uid="{00000000-0006-0000-0000-00000C000000}">
      <text>
        <r>
          <rPr>
            <b/>
            <u/>
            <sz val="9"/>
            <color indexed="81"/>
            <rFont val="Tahoma"/>
            <family val="2"/>
          </rPr>
          <t>Max Duty Cycle</t>
        </r>
        <r>
          <rPr>
            <b/>
            <sz val="9"/>
            <color indexed="81"/>
            <rFont val="Tahoma"/>
            <family val="2"/>
          </rPr>
          <t xml:space="preserve">:
</t>
        </r>
        <r>
          <rPr>
            <sz val="9"/>
            <color indexed="81"/>
            <rFont val="Tahoma"/>
            <family val="2"/>
          </rPr>
          <t>The max operating duty cycle is preferably kept below 65% to prevent high peak/rms currents in the flyback diode(s) and secondary winding(s).</t>
        </r>
      </text>
    </comment>
    <comment ref="M15" authorId="0" shapeId="0" xr:uid="{00000000-0006-0000-0000-00000D000000}">
      <text>
        <r>
          <rPr>
            <b/>
            <u/>
            <sz val="9"/>
            <color indexed="81"/>
            <rFont val="Tahoma"/>
            <family val="2"/>
          </rPr>
          <t>Max Output Current at VIN(min)</t>
        </r>
        <r>
          <rPr>
            <b/>
            <sz val="9"/>
            <color indexed="81"/>
            <rFont val="Tahoma"/>
            <family val="2"/>
          </rPr>
          <t xml:space="preserve">:
</t>
        </r>
        <r>
          <rPr>
            <sz val="9"/>
            <color indexed="81"/>
            <rFont val="Tahoma"/>
            <family val="2"/>
          </rPr>
          <t>The output power is most limited at minimum input operating voltage. Adjust the turns ratio if needed.</t>
        </r>
      </text>
    </comment>
    <comment ref="F16" authorId="0" shapeId="0" xr:uid="{00000000-0006-0000-0000-00000E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17" authorId="0" shapeId="0" xr:uid="{00000000-0006-0000-0000-00000F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derated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18" authorId="0" shapeId="0" xr:uid="{00000000-0006-0000-0000-000010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0" authorId="0" shapeId="0" xr:uid="{00000000-0006-0000-0000-000011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21" authorId="0" shapeId="0" xr:uid="{00000000-0006-0000-0000-000012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22" authorId="0" shapeId="0" xr:uid="{00000000-0006-0000-0000-000013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8" authorId="0" shapeId="0" xr:uid="{00000000-0006-0000-0000-000014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Leave the </t>
        </r>
        <r>
          <rPr>
            <b/>
            <sz val="9"/>
            <color indexed="39"/>
            <rFont val="Tahoma"/>
            <family val="2"/>
          </rPr>
          <t>SS/BIAS pin open circuit</t>
        </r>
        <r>
          <rPr>
            <sz val="9"/>
            <color indexed="81"/>
            <rFont val="Tahoma"/>
            <family val="2"/>
          </rPr>
          <t xml:space="preserve"> to provide a soft-start time of </t>
        </r>
        <r>
          <rPr>
            <b/>
            <sz val="9"/>
            <color indexed="81"/>
            <rFont val="Tahoma"/>
            <family val="2"/>
          </rPr>
          <t>5ms</t>
        </r>
        <r>
          <rPr>
            <sz val="9"/>
            <color indexed="81"/>
            <rFont val="Tahoma"/>
            <family val="2"/>
          </rPr>
          <t>.
Connect an auxiliary bias rail to SS/BIAS to reduce quiescent current and bias power dissipation.</t>
        </r>
        <r>
          <rPr>
            <b/>
            <sz val="9"/>
            <color indexed="81"/>
            <rFont val="Tahoma"/>
            <family val="2"/>
          </rPr>
          <t xml:space="preserve">
The text in the cell below becomes red if:
</t>
        </r>
        <r>
          <rPr>
            <b/>
            <sz val="9"/>
            <color indexed="10"/>
            <rFont val="Tahoma"/>
            <family val="2"/>
          </rPr>
          <t>-The specified programmable soft-start time is less than 0.5ms.</t>
        </r>
        <r>
          <rPr>
            <sz val="9"/>
            <color indexed="81"/>
            <rFont val="Tahoma"/>
            <family val="2"/>
          </rPr>
          <t xml:space="preserve">
</t>
        </r>
      </text>
    </comment>
    <comment ref="F34" authorId="0" shapeId="0" xr:uid="{00000000-0006-0000-0000-000015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LM5180 input operating voltage range is</t>
        </r>
        <r>
          <rPr>
            <b/>
            <sz val="9"/>
            <color indexed="81"/>
            <rFont val="Tahoma"/>
            <family val="2"/>
          </rPr>
          <t xml:space="preserve"> 4.5V to 70V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70V</t>
        </r>
        <r>
          <rPr>
            <sz val="9"/>
            <color indexed="81"/>
            <rFont val="Tahoma"/>
            <family val="2"/>
          </rPr>
          <t xml:space="preserve">
-The input voltage UVLO turn-on is below </t>
        </r>
        <r>
          <rPr>
            <b/>
            <sz val="9"/>
            <color indexed="10"/>
            <rFont val="Tahoma"/>
            <family val="2"/>
          </rPr>
          <t xml:space="preserve">4.5V
</t>
        </r>
        <r>
          <rPr>
            <b/>
            <sz val="9"/>
            <color indexed="39"/>
            <rFont val="Tahoma"/>
            <family val="2"/>
          </rPr>
          <t>If the internal UVLO is sufficient, connect EN to logic high or VIN.</t>
        </r>
      </text>
    </comment>
    <comment ref="F41" authorId="1" shapeId="0" xr:uid="{00000000-0006-0000-0000-000016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turns ratio calculations)</t>
        </r>
      </text>
    </comment>
    <comment ref="F42" authorId="1" shapeId="0" xr:uid="{00000000-0006-0000-0000-000017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43" authorId="0" shapeId="0" xr:uid="{00000000-0006-0000-0000-000018000000}">
      <text>
        <r>
          <rPr>
            <b/>
            <u/>
            <sz val="9"/>
            <color indexed="81"/>
            <rFont val="Tahoma"/>
            <family val="2"/>
          </rPr>
          <t>Estimated Thermal Impedance</t>
        </r>
        <r>
          <rPr>
            <b/>
            <sz val="9"/>
            <color indexed="81"/>
            <rFont val="Tahoma"/>
            <family val="2"/>
          </rPr>
          <t xml:space="preserve">:
</t>
        </r>
        <r>
          <rPr>
            <sz val="9"/>
            <color indexed="81"/>
            <rFont val="Tahoma"/>
            <family val="2"/>
          </rPr>
          <t xml:space="preserve">Enter the LM5180's junction-to-ambient thermal impedance, which relates to PCB copper weight and area for heatsinking, local ariflow rate, and other factors.
</t>
        </r>
      </text>
    </comment>
    <comment ref="F44" authorId="0" shapeId="0" xr:uid="{00000000-0006-0000-0000-000019000000}">
      <text>
        <r>
          <rPr>
            <b/>
            <u/>
            <sz val="9"/>
            <color indexed="81"/>
            <rFont val="Tahoma"/>
            <family val="2"/>
          </rPr>
          <t>Ambient Operating Temperature</t>
        </r>
        <r>
          <rPr>
            <b/>
            <sz val="9"/>
            <color indexed="81"/>
            <rFont val="Tahoma"/>
            <family val="2"/>
          </rPr>
          <t xml:space="preserve">:
</t>
        </r>
        <r>
          <rPr>
            <sz val="9"/>
            <color indexed="81"/>
            <rFont val="Tahoma"/>
            <family val="2"/>
          </rPr>
          <t>Enter the LM5180's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46" authorId="0" shapeId="0" xr:uid="{00000000-0006-0000-0000-00001A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LM5180's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7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7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<sst xmlns="http://schemas.openxmlformats.org/spreadsheetml/2006/main" count="1270" uniqueCount="701">
  <si>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</si>
  <si>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</si>
  <si>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</si>
  <si>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</si>
  <si>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</si>
  <si>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</si>
  <si>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</si>
  <si>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</si>
  <si>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</si>
  <si>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</si>
  <si>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</si>
  <si>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</si>
  <si>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</si>
  <si>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</si>
  <si>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</si>
  <si>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</si>
  <si>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</si>
  <si>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</si>
  <si>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</si>
  <si>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</si>
  <si>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</si>
  <si>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</si>
  <si>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</si>
  <si>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</si>
  <si>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</si>
  <si>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</si>
  <si>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</si>
  <si>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</si>
  <si>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</si>
  <si>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</si>
  <si>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</si>
  <si>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</si>
  <si>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</si>
  <si>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</si>
  <si>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</si>
  <si>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</si>
  <si>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</si>
  <si>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</si>
  <si>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</si>
  <si>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</si>
  <si>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</si>
  <si>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</si>
  <si>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</si>
  <si>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</si>
  <si>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</si>
  <si>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</si>
  <si>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</si>
  <si>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</si>
  <si>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</si>
  <si>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</si>
  <si>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</si>
  <si>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</si>
  <si>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</si>
  <si>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</si>
  <si>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</si>
  <si>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</si>
  <si>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</si>
  <si>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</si>
  <si>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</si>
  <si>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</si>
  <si>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</si>
  <si>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</si>
  <si>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</si>
  <si>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</si>
  <si>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</si>
  <si>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</si>
  <si>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</si>
  <si>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</si>
  <si>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</si>
  <si>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</si>
  <si>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</si>
  <si>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</si>
  <si>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</si>
  <si>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</si>
  <si>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</si>
  <si>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</si>
  <si>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</si>
  <si>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</si>
  <si>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</si>
  <si>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</si>
  <si>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</si>
  <si>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</si>
  <si>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</si>
  <si>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</si>
  <si>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</si>
  <si>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</si>
  <si>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</si>
  <si>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</si>
  <si>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</si>
  <si>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</si>
  <si>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</si>
  <si>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</si>
  <si>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</si>
  <si>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</si>
  <si>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</si>
  <si>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</si>
  <si>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</si>
  <si>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</si>
  <si>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</si>
  <si>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</si>
  <si>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</si>
  <si>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</si>
  <si>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</si>
  <si>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</si>
  <si>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</si>
  <si>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</si>
  <si>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</si>
  <si>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</si>
  <si>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</si>
  <si>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</si>
  <si>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</si>
  <si>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</si>
  <si>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</si>
  <si>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</si>
  <si>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</si>
  <si>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</si>
  <si>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</si>
  <si>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</si>
  <si>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</si>
  <si>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</si>
  <si>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</si>
  <si>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</si>
  <si>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</si>
  <si>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</si>
  <si>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</si>
  <si>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</si>
  <si>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</si>
  <si>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</si>
  <si>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</si>
  <si>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</si>
  <si>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</si>
  <si>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</si>
  <si>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</si>
  <si>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</si>
  <si>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</si>
  <si>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</si>
  <si>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</si>
  <si>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</si>
  <si>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</si>
  <si>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</si>
  <si>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</si>
  <si>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</si>
  <si>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</si>
  <si>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</si>
  <si>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</si>
  <si>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</si>
  <si>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</si>
  <si>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</si>
  <si>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</si>
  <si>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</si>
  <si>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</si>
  <si>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</si>
  <si>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Lf</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</si>
  <si>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</si>
  <si>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</si>
  <si>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</si>
  <si>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</si>
  <si>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</si>
  <si>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</si>
  <si>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</si>
  <si>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</si>
  <si>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</si>
  <si>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</si>
  <si>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</si>
  <si>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</si>
  <si>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</si>
  <si>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</si>
  <si>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</si>
  <si>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</si>
  <si>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</si>
  <si>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</si>
  <si>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</si>
  <si>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</si>
  <si>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</si>
  <si>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</si>
  <si>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</si>
  <si>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</si>
  <si>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</si>
  <si>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</si>
  <si>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</si>
  <si>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</si>
  <si>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</si>
  <si>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</si>
  <si>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</si>
  <si>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</si>
  <si>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</si>
  <si>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</si>
  <si>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</si>
  <si>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</si>
  <si>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</si>
  <si>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</si>
  <si>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</si>
  <si>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</si>
  <si>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</si>
  <si>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</si>
  <si>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</si>
  <si>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</si>
  <si>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</si>
  <si>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</si>
  <si>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</si>
  <si>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</si>
  <si>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</si>
  <si>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</si>
  <si>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</si>
  <si>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</si>
  <si>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</si>
  <si>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</si>
  <si>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</si>
  <si>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</si>
  <si>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</si>
  <si>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</si>
  <si>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</si>
  <si>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</si>
  <si>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</si>
  <si>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</si>
  <si>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</si>
  <si>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</si>
  <si>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</si>
  <si>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</si>
  <si>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</si>
  <si>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</si>
  <si>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</si>
  <si>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</si>
  <si>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</si>
  <si>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</si>
  <si>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</si>
  <si>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</si>
  <si>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</si>
  <si>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</si>
  <si>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</si>
  <si>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</si>
  <si>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</si>
  <si>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</si>
  <si>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</si>
  <si>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</si>
  <si>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</si>
  <si>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</si>
  <si>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</si>
  <si>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</si>
  <si>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</si>
  <si>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</si>
  <si>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</si>
  <si>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</si>
  <si>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</si>
  <si>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</si>
  <si>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</si>
  <si>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</si>
  <si>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</si>
  <si>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</si>
  <si>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</si>
  <si>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</si>
  <si>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</si>
  <si>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</si>
  <si>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</si>
  <si>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</si>
  <si>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</si>
  <si>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</si>
  <si>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</si>
  <si>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</si>
  <si>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</si>
  <si>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</si>
  <si>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</si>
  <si>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</si>
  <si>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</si>
  <si>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</si>
  <si>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</si>
  <si>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</si>
  <si>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</si>
  <si>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</si>
  <si>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</si>
  <si>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Series resistance of body diode</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</si>
  <si>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</si>
  <si>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</si>
  <si>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</si>
  <si>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</si>
  <si>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</si>
  <si>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</si>
  <si>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</si>
  <si>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</si>
  <si>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</si>
  <si>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</si>
  <si>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</si>
  <si>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</si>
  <si>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</si>
  <si>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</si>
  <si>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</si>
  <si>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</si>
  <si>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</si>
  <si>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</si>
  <si>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</si>
  <si>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</si>
  <si>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</si>
  <si>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</si>
  <si>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</si>
  <si>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</si>
  <si>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Lower UVLO Resistor, R</t>
    </r>
    <r>
      <rPr>
        <vertAlign val="subscript"/>
        <sz val="10"/>
        <rFont val="Arial"/>
        <family val="2"/>
      </rPr>
      <t>UV2</t>
    </r>
  </si>
  <si>
    <r>
      <t>VIN</t>
    </r>
    <r>
      <rPr>
        <vertAlign val="subscript"/>
        <sz val="10"/>
        <rFont val="Arial"/>
        <family val="2"/>
      </rPr>
      <t>UVLO_OFF</t>
    </r>
  </si>
  <si>
    <t>Rhys</t>
  </si>
  <si>
    <t>Soft Start</t>
  </si>
  <si>
    <t>Step 3: Input &amp; Output Capacitors</t>
  </si>
  <si>
    <t>PLOT_TYPE</t>
  </si>
  <si>
    <t>FB resistor ref des shown or not?</t>
  </si>
  <si>
    <t>SHORT_ILIM</t>
  </si>
  <si>
    <t>ILIM pin shorted if 240mA selected</t>
  </si>
  <si>
    <t>ILIM resistor needed (60/120/180mA)</t>
  </si>
  <si>
    <t>Show Rt resistor ref des?</t>
  </si>
  <si>
    <r>
      <t xml:space="preserve">Estimated Thermal Impedance, </t>
    </r>
    <r>
      <rPr>
        <b/>
        <sz val="11"/>
        <rFont val="Symbol"/>
        <family val="1"/>
        <charset val="2"/>
      </rPr>
      <t>J</t>
    </r>
    <r>
      <rPr>
        <b/>
        <vertAlign val="subscript"/>
        <sz val="10"/>
        <rFont val="Arial"/>
        <family val="2"/>
      </rPr>
      <t>JA</t>
    </r>
  </si>
  <si>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</si>
  <si>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</si>
  <si>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</si>
  <si>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</si>
  <si>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</si>
  <si>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</si>
  <si>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</si>
  <si>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</si>
  <si>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</si>
  <si>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</si>
  <si>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</si>
  <si>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</si>
  <si>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</si>
  <si>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</si>
  <si>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</si>
  <si>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</si>
  <si>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</si>
  <si>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</si>
  <si>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</si>
  <si>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</si>
  <si>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</si>
  <si>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</si>
  <si>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</si>
  <si>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</si>
  <si>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</si>
  <si>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</si>
  <si>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</si>
  <si>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</si>
  <si>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</si>
  <si>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</si>
  <si>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</si>
  <si>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</si>
  <si>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</si>
  <si>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</si>
  <si>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</si>
  <si>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</si>
  <si>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</si>
  <si>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</si>
  <si>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</si>
  <si>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</si>
  <si>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</si>
  <si>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</si>
  <si>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</si>
  <si>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</si>
  <si>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</si>
  <si>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</si>
  <si>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</si>
  <si>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</si>
  <si>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</si>
  <si>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</si>
  <si>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</si>
  <si>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t>4.0 x 4.0</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</si>
  <si>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</si>
  <si>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</si>
  <si>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</si>
  <si>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</si>
  <si>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t>** Appropriately derate effective input and output capacitances for applied voltage and temperature, particularly with ceramics **</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</si>
  <si>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</si>
  <si>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</si>
  <si>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</si>
  <si>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</si>
  <si>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</si>
  <si>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</si>
  <si>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r>
      <t>LM5180 Power Dissipation at Full Load, P</t>
    </r>
    <r>
      <rPr>
        <vertAlign val="subscript"/>
        <sz val="10"/>
        <rFont val="Arial"/>
        <family val="2"/>
      </rPr>
      <t>D</t>
    </r>
  </si>
  <si>
    <t>YES</t>
  </si>
  <si>
    <t>NO</t>
  </si>
  <si>
    <r>
      <t>Magnetizing Inductance, L</t>
    </r>
    <r>
      <rPr>
        <b/>
        <vertAlign val="subscript"/>
        <sz val="10"/>
        <color theme="1"/>
        <rFont val="Arial"/>
        <family val="2"/>
      </rPr>
      <t>MAG</t>
    </r>
    <r>
      <rPr>
        <b/>
        <sz val="10"/>
        <color theme="1"/>
        <rFont val="Arial"/>
        <family val="2"/>
      </rPr>
      <t xml:space="preserve"> </t>
    </r>
  </si>
  <si>
    <t>Single Output or Dual Outputs</t>
  </si>
  <si>
    <r>
      <t>Input Voltage – Min, V</t>
    </r>
    <r>
      <rPr>
        <b/>
        <vertAlign val="subscript"/>
        <sz val="10"/>
        <color theme="1"/>
        <rFont val="Arial"/>
        <family val="2"/>
      </rPr>
      <t>IN(min)</t>
    </r>
    <r>
      <rPr>
        <b/>
        <sz val="10"/>
        <color theme="1"/>
        <rFont val="Arial"/>
        <family val="2"/>
      </rPr>
      <t xml:space="preserve"> </t>
    </r>
  </si>
  <si>
    <r>
      <t>Input Voltage – Nom, V</t>
    </r>
    <r>
      <rPr>
        <b/>
        <vertAlign val="subscript"/>
        <sz val="10"/>
        <color theme="1"/>
        <rFont val="Arial"/>
        <family val="2"/>
      </rPr>
      <t>IN(nom)</t>
    </r>
  </si>
  <si>
    <r>
      <t>Input Voltage – Max, V</t>
    </r>
    <r>
      <rPr>
        <b/>
        <vertAlign val="subscript"/>
        <sz val="10"/>
        <color theme="1"/>
        <rFont val="Arial"/>
        <family val="2"/>
      </rPr>
      <t>IN(max)</t>
    </r>
  </si>
  <si>
    <r>
      <t>Selected Feedback Resistor, R</t>
    </r>
    <r>
      <rPr>
        <b/>
        <vertAlign val="subscript"/>
        <sz val="10"/>
        <rFont val="Arial"/>
        <family val="2"/>
      </rPr>
      <t>FB</t>
    </r>
  </si>
  <si>
    <t xml:space="preserve">                              LM5180 PSR Flyback Converter Design Tool  </t>
  </si>
  <si>
    <t>Recommended Feedback Resistor</t>
  </si>
  <si>
    <t>Current Hysteresis</t>
  </si>
  <si>
    <t>Current after UVLO (rising)</t>
  </si>
  <si>
    <t>Current before UVLO (rising)</t>
  </si>
  <si>
    <r>
      <t>Upper UVLO Resistor, R</t>
    </r>
    <r>
      <rPr>
        <vertAlign val="subscript"/>
        <sz val="10"/>
        <rFont val="Arial"/>
        <family val="2"/>
      </rPr>
      <t>UV1</t>
    </r>
  </si>
  <si>
    <t>12.1 kΩ</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</si>
  <si>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</si>
  <si>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</si>
  <si>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</si>
  <si>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</si>
  <si>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</si>
  <si>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</si>
  <si>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</si>
  <si>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</si>
  <si>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</si>
  <si>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Step 4: Feedback, Soft-start, TC, UVLO</t>
  </si>
  <si>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</si>
  <si>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</si>
  <si>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</si>
  <si>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</si>
  <si>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</si>
  <si>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</si>
  <si>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</si>
  <si>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</si>
  <si>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</si>
  <si>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</si>
  <si>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</si>
  <si>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</si>
  <si>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</si>
  <si>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</si>
  <si>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</si>
  <si>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</si>
  <si>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</si>
  <si>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</si>
  <si>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</si>
  <si>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</si>
  <si>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</si>
  <si>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</si>
  <si>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</si>
  <si>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</si>
  <si>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</si>
  <si>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</si>
  <si>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</si>
  <si>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</si>
  <si>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</si>
  <si>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</si>
  <si>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</si>
  <si>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</si>
  <si>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</si>
  <si>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</si>
  <si>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</si>
  <si>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</si>
  <si>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</si>
  <si>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</si>
  <si>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</si>
  <si>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</si>
  <si>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</si>
  <si>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</si>
  <si>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</si>
  <si>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</si>
  <si>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</si>
  <si>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</si>
  <si>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</si>
  <si>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</si>
  <si>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</si>
  <si>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</si>
  <si>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</si>
  <si>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</si>
  <si>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</si>
  <si>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</si>
  <si>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</si>
  <si>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</si>
  <si>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</si>
  <si>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</si>
  <si>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</si>
  <si>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</si>
  <si>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</si>
  <si>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</si>
  <si>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</si>
  <si>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</si>
  <si>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</si>
  <si>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</si>
  <si>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</si>
  <si>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</si>
  <si>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</si>
  <si>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</si>
  <si>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</si>
  <si>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</si>
  <si>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</si>
  <si>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</si>
  <si>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</si>
  <si>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</si>
  <si>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</si>
  <si>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</si>
  <si>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</si>
  <si>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</si>
  <si>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</si>
  <si>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</si>
  <si>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</si>
  <si>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</si>
  <si>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</si>
  <si>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</si>
  <si>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</si>
  <si>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</si>
  <si>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</si>
  <si>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</si>
  <si>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</si>
  <si>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</si>
  <si>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</si>
  <si>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</si>
  <si>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</si>
  <si>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</si>
  <si>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</si>
  <si>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</si>
  <si>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LM5180 quiescent current</t>
  </si>
  <si>
    <t>Cout (µF) for 1% ripple</t>
  </si>
  <si>
    <t>Cin (µF) for 10%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</si>
  <si>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</si>
  <si>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</si>
  <si>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</si>
  <si>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</si>
  <si>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</si>
  <si>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</si>
  <si>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</si>
  <si>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</si>
  <si>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</si>
  <si>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</si>
  <si>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</si>
  <si>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</si>
  <si>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</si>
  <si>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</si>
  <si>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Step 5: Power Losses &amp; Thermals</t>
  </si>
  <si>
    <t xml:space="preserve">Resulting Input Voltage Ripple </t>
  </si>
  <si>
    <t>Check Iout-max</t>
  </si>
  <si>
    <t>Iout2</t>
  </si>
  <si>
    <t>Rout2</t>
  </si>
  <si>
    <t>Pout2</t>
  </si>
  <si>
    <t>Load resistance #2</t>
  </si>
  <si>
    <t>Output power #2</t>
  </si>
  <si>
    <t xml:space="preserve">Total Output Power </t>
  </si>
  <si>
    <t>Total power</t>
  </si>
  <si>
    <t>LM5180 Parameters</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</si>
  <si>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</si>
  <si>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</si>
  <si>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</si>
  <si>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</si>
  <si>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</si>
  <si>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</si>
  <si>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</si>
  <si>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</si>
  <si>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</si>
  <si>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</si>
  <si>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</si>
  <si>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</si>
  <si>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</si>
  <si>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</si>
  <si>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</si>
  <si>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</si>
  <si>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</si>
  <si>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</si>
  <si>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t>LM5180</t>
  </si>
  <si>
    <r>
      <t>IC, LM5180, PSR Flyback Converter, 4.5V</t>
    </r>
    <r>
      <rPr>
        <b/>
        <sz val="10"/>
        <rFont val="Calibri"/>
        <family val="2"/>
      </rPr>
      <t>–</t>
    </r>
    <r>
      <rPr>
        <b/>
        <sz val="10"/>
        <rFont val="Arial"/>
        <family val="2"/>
      </rPr>
      <t>70V Input</t>
    </r>
  </si>
  <si>
    <t>WSON-8</t>
  </si>
  <si>
    <r>
      <t>Low I</t>
    </r>
    <r>
      <rPr>
        <b/>
        <vertAlign val="subscript"/>
        <sz val="16"/>
        <rFont val="Arial"/>
        <family val="2"/>
      </rPr>
      <t>Q</t>
    </r>
    <r>
      <rPr>
        <b/>
        <sz val="16"/>
        <rFont val="Arial"/>
        <family val="2"/>
      </rPr>
      <t>, High Efficiency, PSR Flyback Converter BOM</t>
    </r>
  </si>
  <si>
    <t>* Choose a transformer with saturation current rating higher than the peak current limit setting (1.35A) for all operating temperatures *</t>
  </si>
  <si>
    <r>
      <t>T</t>
    </r>
    <r>
      <rPr>
        <vertAlign val="subscript"/>
        <sz val="10"/>
        <rFont val="Arial"/>
        <family val="2"/>
      </rPr>
      <t>1</t>
    </r>
  </si>
  <si>
    <r>
      <t>R</t>
    </r>
    <r>
      <rPr>
        <vertAlign val="subscript"/>
        <sz val="10"/>
        <rFont val="Arial"/>
        <family val="2"/>
      </rPr>
      <t>FB</t>
    </r>
  </si>
  <si>
    <r>
      <t>LM5180 Junction Temperature at Full Load, T</t>
    </r>
    <r>
      <rPr>
        <vertAlign val="subscript"/>
        <sz val="10"/>
        <rFont val="Arial"/>
        <family val="2"/>
      </rPr>
      <t>J</t>
    </r>
  </si>
  <si>
    <t>Primary Winding DCR</t>
  </si>
  <si>
    <t>FUNCTIONAL</t>
  </si>
  <si>
    <t>BASIC</t>
  </si>
  <si>
    <t>REINFORCED</t>
  </si>
  <si>
    <t>Isolation Grade</t>
  </si>
  <si>
    <t>Output #1</t>
  </si>
  <si>
    <t>Output #2</t>
  </si>
  <si>
    <t>12.1kΩ</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</si>
  <si>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</si>
  <si>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</si>
  <si>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</si>
  <si>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</si>
  <si>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</si>
  <si>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</si>
  <si>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</si>
  <si>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</si>
  <si>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</si>
  <si>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</si>
  <si>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</si>
  <si>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</si>
  <si>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</si>
  <si>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</si>
  <si>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</si>
  <si>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</si>
  <si>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</si>
  <si>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</si>
  <si>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</si>
  <si>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</si>
  <si>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</si>
  <si>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</si>
  <si>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</si>
  <si>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</si>
  <si>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</si>
  <si>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</si>
  <si>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</si>
  <si>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</si>
  <si>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</si>
  <si>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</si>
  <si>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</si>
  <si>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</si>
  <si>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</si>
  <si>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</si>
  <si>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</si>
  <si>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Reference voltage</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</si>
  <si>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</si>
  <si>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</si>
  <si>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</si>
  <si>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</si>
  <si>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</si>
  <si>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</si>
  <si>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</si>
  <si>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</si>
  <si>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</si>
  <si>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</si>
  <si>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</si>
  <si>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</si>
  <si>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</si>
  <si>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</si>
  <si>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</si>
  <si>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</si>
  <si>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</si>
  <si>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</si>
  <si>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</si>
  <si>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</si>
  <si>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</si>
  <si>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</si>
  <si>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</si>
  <si>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</si>
  <si>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</si>
  <si>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</si>
  <si>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</si>
  <si>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</si>
  <si>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</si>
  <si>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</si>
  <si>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</si>
  <si>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</si>
  <si>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</si>
  <si>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</si>
  <si>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</si>
  <si>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</si>
  <si>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</si>
  <si>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</si>
  <si>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r>
      <t>Max Output Power at V</t>
    </r>
    <r>
      <rPr>
        <vertAlign val="subscript"/>
        <sz val="10"/>
        <rFont val="Arial"/>
        <family val="2"/>
      </rPr>
      <t>IN(min)</t>
    </r>
  </si>
  <si>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</si>
  <si>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</si>
  <si>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</si>
  <si>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</si>
  <si>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</si>
  <si>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</si>
  <si>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</si>
  <si>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</si>
  <si>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</si>
  <si>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</si>
  <si>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</si>
  <si>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</si>
  <si>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</si>
  <si>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</si>
  <si>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</si>
  <si>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</si>
  <si>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</si>
  <si>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</si>
  <si>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t>24V</t>
  </si>
  <si>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</si>
  <si>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</si>
  <si>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</si>
  <si>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</si>
  <si>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</si>
  <si>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 Use primary-side RC snubber from SW to VIN to dampen leakage inductance spike ***</t>
  </si>
  <si>
    <t>**** Use flyback diode RC snubber to dampen ringing if needed ****</t>
  </si>
  <si>
    <t>SOD323</t>
  </si>
  <si>
    <t>SOD123</t>
  </si>
  <si>
    <t>SMA</t>
  </si>
  <si>
    <t>Footprint</t>
  </si>
  <si>
    <t>Area</t>
  </si>
  <si>
    <t>Diode Size</t>
  </si>
  <si>
    <r>
      <t>D</t>
    </r>
    <r>
      <rPr>
        <vertAlign val="subscript"/>
        <sz val="10"/>
        <rFont val="Arial"/>
        <family val="2"/>
      </rPr>
      <t>OUT</t>
    </r>
  </si>
  <si>
    <t>5.0 x 2.5</t>
  </si>
  <si>
    <t>3.6 x 1.8</t>
  </si>
  <si>
    <t>2.5 x 1.25</t>
  </si>
  <si>
    <t>SOD523</t>
  </si>
  <si>
    <t>Flyback Diode - forward current rating</t>
  </si>
  <si>
    <t>Flyback Diode - reverse voltage rating</t>
  </si>
  <si>
    <t>***** Use output zener to clamp the output at no load *****</t>
  </si>
  <si>
    <r>
      <t>Flyback Diode Voltage Drop, V</t>
    </r>
    <r>
      <rPr>
        <b/>
        <vertAlign val="subscript"/>
        <sz val="10"/>
        <rFont val="Arial"/>
        <family val="2"/>
      </rPr>
      <t>D(no-load)</t>
    </r>
  </si>
  <si>
    <r>
      <t>Flyback Diode Voltage Drop, V</t>
    </r>
    <r>
      <rPr>
        <b/>
        <vertAlign val="subscript"/>
        <sz val="10"/>
        <rFont val="Arial"/>
        <family val="2"/>
      </rPr>
      <t>D(full-load)</t>
    </r>
  </si>
  <si>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</si>
  <si>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</si>
  <si>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</si>
  <si>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</si>
  <si>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</si>
  <si>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</si>
  <si>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</si>
  <si>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</si>
  <si>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</si>
  <si>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</si>
  <si>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</si>
  <si>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</si>
  <si>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</si>
  <si>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</si>
  <si>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</si>
  <si>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</si>
  <si>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</si>
  <si>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</si>
  <si>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Minimum Magnetizing Inductance</t>
  </si>
  <si>
    <t>Lmin</t>
  </si>
  <si>
    <t>Lleak</t>
  </si>
  <si>
    <t>nH</t>
  </si>
  <si>
    <t>Pri-Sec Leakage Inductance</t>
  </si>
  <si>
    <t>LM5180EVM-DUAL PCB design, 2.1" x 1.5" (55mm x 38mm)</t>
  </si>
  <si>
    <t xml:space="preserve"> LM5180 PSR Flyback Converter Design Tool</t>
  </si>
  <si>
    <t>Check Fsw at  Iout-max</t>
  </si>
  <si>
    <t>Check Pout-max at  Iout-max</t>
  </si>
  <si>
    <t>LM5180EVM-S05 PCB Design, 2" x 1.4" (50mm x 35mm)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</si>
</sst>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_(* \(#,##0.00\);_(* &quot;-&quot;??_);_(@_)"/>
    <numFmt numFmtId="165" formatCode="0.00000"/>
    <numFmt numFmtId="166" formatCode="0.0000"/>
    <numFmt numFmtId="167" formatCode="0.000"/>
    <numFmt numFmtId="168" formatCode="0.0"/>
    <numFmt numFmtId="169" formatCode="0.000E+00"/>
    <numFmt numFmtId="170" formatCode="#0.0#"/>
    <numFmt numFmtId="171" formatCode="General&quot;k&quot;"/>
    <numFmt numFmtId="172" formatCode="General&quot;µF&quot;"/>
    <numFmt numFmtId="173" formatCode="General&quot;µH&quot;"/>
    <numFmt numFmtId="174" formatCode="&quot;Inductor, &quot;General&quot;-µH, 10%&quot;"/>
    <numFmt numFmtId="175" formatCode="&quot;Resistor, Chip, &quot;General&quot;-kΩ, 1/16W, 1%&quot;"/>
    <numFmt numFmtId="176" formatCode="0.E+00"/>
    <numFmt numFmtId="177" formatCode="0.0E+00"/>
    <numFmt numFmtId="178" formatCode="&quot;Capacitor, Ceramic, &quot;General&quot;-µF, 100V, X7R, 20%&quot;"/>
    <numFmt numFmtId="179" formatCode="0.000%"/>
    <numFmt numFmtId="180" formatCode="&quot;Capacitor, Ceramic, &quot;General&quot;-µF, 16V, X7R, 20%&quot;"/>
    <numFmt numFmtId="181" formatCode="&quot;Resistor, Chip, &quot;General&quot; kΩ, 1/16W, 1%&quot;"/>
    <numFmt numFmtId="182" formatCode="General&quot;M&quot;"/>
    <numFmt numFmtId="183" formatCode="&quot;Resistor, Chip, &quot;General&quot;kΩ, 1/16W, 1%&quot;"/>
    <numFmt numFmtId="184" formatCode="0E+00"/>
  </numFmts>
  <fonts count="82" x14ac:knownFonts="1">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sz val="36"/>
      <color rgb="FFFF0000"/>
      <name val="Arial"/>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1"/>
      <name val="Symbol"/>
      <family val="1"/>
      <charset val="2"/>
    </font>
    <font>
      <b/>
      <sz val="10"/>
      <color rgb="FF0000FF"/>
      <name val="Arial"/>
      <family val="2"/>
    </font>
    <font>
      <u/>
      <sz val="10"/>
      <color theme="0" tint="-0.499984740745262"/>
      <name val="Arial"/>
      <family val="2"/>
    </font>
    <font>
      <vertAlign val="subscript"/>
      <sz val="9"/>
      <color indexed="81"/>
      <name val="Tahoma"/>
      <family val="2"/>
    </font>
    <font>
      <b/>
      <vertAlign val="subscript"/>
      <sz val="16"/>
      <name val="Arial"/>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0"/>
      <color theme="9" tint="-0.249977111117893"/>
      <name val="Arial"/>
      <family val="2"/>
    </font>
  </fonts>
  <fills count="29">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s>
  <borders count="7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s>
  <cellStyleXfs count="8">
    <xf numFmtId="0" fontId="0" fillId="0" borderId="0"/>
    <xf numFmtId="0" fontId="4" fillId="0" borderId="0" applyNumberFormat="0" applyFill="0" applyBorder="0" applyAlignment="0" applyProtection="0"/>
    <xf numFmtId="164"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164" fontId="2" fillId="0" borderId="0" applyFont="0" applyFill="0" applyBorder="0" applyAlignment="0" applyProtection="0"/>
    <xf numFmtId="9" fontId="71" fillId="0" borderId="0" applyFont="0" applyFill="0" applyBorder="0" applyAlignment="0" applyProtection="0"/>
  </cellStyleXfs>
  <cellXfs count="695">
    <xf numFmtId="0" fontId="0" fillId="0" borderId="0" xfId="0"/>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70"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7" fillId="0" borderId="0" xfId="0" applyFont="1" applyBorder="1"/>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6"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2"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5" fillId="8" borderId="0" xfId="0" applyFont="1" applyFill="1" applyBorder="1" applyProtection="1"/>
    <xf numFmtId="0" fontId="46" fillId="8" borderId="0" xfId="0" applyFont="1" applyFill="1" applyBorder="1" applyProtection="1"/>
    <xf numFmtId="0" fontId="47" fillId="8" borderId="0" xfId="0" applyFont="1" applyFill="1" applyBorder="1" applyAlignment="1" applyProtection="1"/>
    <xf numFmtId="0" fontId="4" fillId="8" borderId="0" xfId="0" applyFont="1" applyFill="1" applyBorder="1" applyAlignment="1" applyProtection="1"/>
    <xf numFmtId="168" fontId="4" fillId="8" borderId="0" xfId="0" applyNumberFormat="1" applyFont="1" applyFill="1" applyBorder="1" applyAlignment="1" applyProtection="1"/>
    <xf numFmtId="0" fontId="47"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4" fillId="8" borderId="0" xfId="0" applyNumberFormat="1" applyFont="1" applyFill="1" applyBorder="1" applyAlignment="1" applyProtection="1">
      <alignment horizontal="right"/>
    </xf>
    <xf numFmtId="0" fontId="50"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3"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171" fontId="3" fillId="17" borderId="11" xfId="4" applyNumberFormat="1" applyFill="1" applyBorder="1" applyAlignment="1">
      <alignment horizontal="center" vertical="center"/>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1"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2"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3" fillId="8" borderId="2" xfId="0" applyFont="1" applyFill="1" applyBorder="1" applyAlignment="1" applyProtection="1">
      <alignment horizontal="right" vertical="center"/>
    </xf>
    <xf numFmtId="0" fontId="50" fillId="8" borderId="2" xfId="0" applyFont="1" applyFill="1" applyBorder="1" applyAlignment="1" applyProtection="1">
      <alignment horizontal="right" vertical="center"/>
    </xf>
    <xf numFmtId="0" fontId="4" fillId="15" borderId="2" xfId="0" applyNumberFormat="1" applyFont="1" applyFill="1" applyBorder="1" applyAlignment="1" applyProtection="1">
      <alignment vertical="center"/>
      <protection locked="0"/>
    </xf>
    <xf numFmtId="0" fontId="50"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50"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11" fontId="7" fillId="10" borderId="0" xfId="0" applyNumberFormat="1" applyFont="1" applyFill="1" applyBorder="1"/>
    <xf numFmtId="169" fontId="7" fillId="10" borderId="0" xfId="0" applyNumberFormat="1" applyFont="1" applyFill="1" applyBorder="1"/>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7"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0" fontId="7" fillId="0" borderId="25" xfId="0" applyFont="1" applyFill="1" applyBorder="1"/>
    <xf numFmtId="168"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7" fontId="0" fillId="0" borderId="0" xfId="0" applyNumberFormat="1"/>
    <xf numFmtId="1" fontId="7" fillId="10" borderId="0" xfId="0" applyNumberFormat="1" applyFont="1" applyFill="1" applyBorder="1"/>
    <xf numFmtId="0" fontId="3" fillId="0" borderId="49" xfId="0" applyFont="1" applyBorder="1"/>
    <xf numFmtId="167" fontId="3" fillId="0" borderId="50" xfId="0" applyNumberFormat="1" applyFont="1" applyFill="1" applyBorder="1"/>
    <xf numFmtId="11" fontId="7" fillId="0" borderId="50" xfId="0" applyNumberFormat="1" applyFont="1" applyBorder="1"/>
    <xf numFmtId="0" fontId="53" fillId="0" borderId="50" xfId="0" applyFont="1" applyBorder="1"/>
    <xf numFmtId="0" fontId="49" fillId="0" borderId="0" xfId="0" applyFont="1"/>
    <xf numFmtId="0" fontId="0" fillId="0" borderId="39" xfId="0" applyBorder="1"/>
    <xf numFmtId="0" fontId="50" fillId="0" borderId="0" xfId="0" applyFont="1"/>
    <xf numFmtId="0" fontId="48" fillId="0" borderId="0" xfId="0" applyFont="1" applyFill="1" applyBorder="1"/>
    <xf numFmtId="166" fontId="7" fillId="10" borderId="0" xfId="0" applyNumberFormat="1" applyFont="1" applyFill="1" applyBorder="1"/>
    <xf numFmtId="0" fontId="0" fillId="20" borderId="0" xfId="0" applyFill="1" applyBorder="1" applyAlignment="1">
      <alignment horizontal="right"/>
    </xf>
    <xf numFmtId="167"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7"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7" fontId="0" fillId="10" borderId="0" xfId="0" applyNumberFormat="1" applyFill="1" applyBorder="1"/>
    <xf numFmtId="177"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4" fillId="3" borderId="43" xfId="4" applyFont="1" applyFill="1" applyBorder="1" applyAlignment="1">
      <alignment horizontal="center" vertical="center"/>
    </xf>
    <xf numFmtId="0" fontId="54" fillId="3" borderId="44" xfId="4" applyFont="1" applyFill="1" applyBorder="1" applyAlignment="1">
      <alignment horizontal="center" vertical="center"/>
    </xf>
    <xf numFmtId="11" fontId="49" fillId="0" borderId="0" xfId="0" applyNumberFormat="1" applyFont="1"/>
    <xf numFmtId="0" fontId="59"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7"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6"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1" fillId="8" borderId="0" xfId="0" applyFont="1" applyFill="1" applyBorder="1" applyAlignment="1" applyProtection="1">
      <alignment horizontal="right" vertical="center"/>
    </xf>
    <xf numFmtId="166" fontId="3" fillId="0" borderId="0" xfId="4" applyNumberFormat="1"/>
    <xf numFmtId="167" fontId="3" fillId="0" borderId="0" xfId="4" applyNumberFormat="1"/>
    <xf numFmtId="165"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6" fontId="3" fillId="4" borderId="52" xfId="4" applyNumberFormat="1" applyFill="1" applyBorder="1"/>
    <xf numFmtId="166" fontId="4" fillId="4" borderId="49" xfId="4" applyNumberFormat="1" applyFont="1" applyFill="1" applyBorder="1" applyAlignment="1"/>
    <xf numFmtId="166" fontId="7" fillId="4" borderId="50" xfId="4" applyNumberFormat="1" applyFont="1" applyFill="1" applyBorder="1" applyAlignment="1"/>
    <xf numFmtId="0" fontId="7" fillId="4" borderId="50" xfId="4" applyFont="1" applyFill="1" applyBorder="1" applyAlignment="1"/>
    <xf numFmtId="166" fontId="15" fillId="4" borderId="52" xfId="4" applyNumberFormat="1" applyFont="1" applyFill="1" applyBorder="1"/>
    <xf numFmtId="167" fontId="4" fillId="4" borderId="50" xfId="4" applyNumberFormat="1" applyFont="1" applyFill="1" applyBorder="1" applyAlignment="1">
      <alignment horizontal="left"/>
    </xf>
    <xf numFmtId="166" fontId="7" fillId="4" borderId="50" xfId="4" applyNumberFormat="1" applyFont="1" applyFill="1" applyBorder="1" applyAlignment="1">
      <alignment horizontal="center"/>
    </xf>
    <xf numFmtId="166" fontId="4" fillId="4" borderId="49" xfId="4" applyNumberFormat="1" applyFont="1" applyFill="1" applyBorder="1"/>
    <xf numFmtId="165" fontId="3" fillId="4" borderId="50" xfId="4" applyNumberFormat="1" applyFill="1" applyBorder="1"/>
    <xf numFmtId="165" fontId="3" fillId="4" borderId="52" xfId="4" applyNumberFormat="1" applyFill="1" applyBorder="1"/>
    <xf numFmtId="166" fontId="4" fillId="4" borderId="41" xfId="4" applyNumberFormat="1" applyFont="1" applyFill="1" applyBorder="1"/>
    <xf numFmtId="166" fontId="3" fillId="4" borderId="42" xfId="4" applyNumberFormat="1" applyFill="1" applyBorder="1"/>
    <xf numFmtId="166" fontId="4" fillId="4" borderId="41" xfId="4" applyNumberFormat="1" applyFont="1" applyFill="1" applyBorder="1" applyAlignment="1">
      <alignment horizontal="left"/>
    </xf>
    <xf numFmtId="166" fontId="4" fillId="4" borderId="42" xfId="4" applyNumberFormat="1" applyFont="1" applyFill="1" applyBorder="1" applyAlignment="1">
      <alignment horizontal="left"/>
    </xf>
    <xf numFmtId="166"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6" fontId="4" fillId="2" borderId="7" xfId="4" applyNumberFormat="1" applyFont="1" applyFill="1" applyBorder="1" applyAlignment="1">
      <alignment horizontal="center" vertical="center" wrapText="1"/>
    </xf>
    <xf numFmtId="166"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6" fontId="4" fillId="2" borderId="5" xfId="4" applyNumberFormat="1" applyFont="1" applyFill="1" applyBorder="1" applyAlignment="1">
      <alignment horizontal="center" vertical="center" wrapText="1"/>
    </xf>
    <xf numFmtId="167" fontId="4" fillId="2" borderId="20"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6" fontId="4" fillId="2" borderId="19" xfId="4" applyNumberFormat="1" applyFont="1" applyFill="1" applyBorder="1" applyAlignment="1">
      <alignment horizontal="center" vertical="center" wrapText="1"/>
    </xf>
    <xf numFmtId="166" fontId="4" fillId="2" borderId="21" xfId="4" applyNumberFormat="1" applyFont="1" applyFill="1" applyBorder="1" applyAlignment="1">
      <alignment horizontal="center" vertical="center" wrapText="1"/>
    </xf>
    <xf numFmtId="166" fontId="4" fillId="2" borderId="56" xfId="4" applyNumberFormat="1" applyFont="1" applyFill="1" applyBorder="1" applyAlignment="1">
      <alignment horizontal="center" vertical="center" wrapText="1"/>
    </xf>
    <xf numFmtId="166" fontId="4" fillId="2" borderId="57" xfId="4" applyNumberFormat="1" applyFont="1" applyFill="1" applyBorder="1" applyAlignment="1">
      <alignment horizontal="center" vertical="center" wrapText="1"/>
    </xf>
    <xf numFmtId="166"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9"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3"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7"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2"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6"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3" fillId="0" borderId="15" xfId="4" applyFont="1" applyBorder="1"/>
    <xf numFmtId="0" fontId="3" fillId="6" borderId="8" xfId="4" applyFont="1" applyFill="1" applyBorder="1"/>
    <xf numFmtId="177" fontId="3" fillId="0" borderId="47" xfId="4" applyNumberFormat="1" applyFont="1" applyFill="1" applyBorder="1"/>
    <xf numFmtId="176"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7"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8" fontId="58" fillId="0" borderId="0" xfId="4" applyNumberFormat="1" applyFont="1"/>
    <xf numFmtId="0" fontId="58" fillId="0" borderId="0" xfId="4" applyFont="1"/>
    <xf numFmtId="0" fontId="48" fillId="0" borderId="0" xfId="4" applyNumberFormat="1" applyFont="1"/>
    <xf numFmtId="167" fontId="3" fillId="0" borderId="0" xfId="4" applyNumberFormat="1" applyFont="1"/>
    <xf numFmtId="166"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6" fontId="48" fillId="0" borderId="0" xfId="4" applyNumberFormat="1" applyFont="1"/>
    <xf numFmtId="1" fontId="4" fillId="0" borderId="0" xfId="4" applyNumberFormat="1" applyFont="1"/>
    <xf numFmtId="166"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7" fontId="7" fillId="4" borderId="50" xfId="4" applyNumberFormat="1" applyFont="1" applyFill="1" applyBorder="1" applyAlignment="1"/>
    <xf numFmtId="167" fontId="4" fillId="2" borderId="42" xfId="4" applyNumberFormat="1" applyFont="1" applyFill="1" applyBorder="1" applyAlignment="1">
      <alignment horizontal="center" vertical="center" wrapText="1"/>
    </xf>
    <xf numFmtId="179" fontId="3" fillId="0" borderId="0" xfId="4" applyNumberFormat="1"/>
    <xf numFmtId="179" fontId="7" fillId="4" borderId="50" xfId="4" applyNumberFormat="1" applyFont="1" applyFill="1" applyBorder="1" applyAlignment="1"/>
    <xf numFmtId="179" fontId="4" fillId="2" borderId="6" xfId="4" applyNumberFormat="1" applyFont="1" applyFill="1" applyBorder="1" applyAlignment="1">
      <alignment horizontal="center" vertical="center" wrapText="1"/>
    </xf>
    <xf numFmtId="179" fontId="4" fillId="2" borderId="19" xfId="4" applyNumberFormat="1" applyFont="1" applyFill="1" applyBorder="1" applyAlignment="1">
      <alignment horizontal="center" vertical="center" wrapText="1"/>
    </xf>
    <xf numFmtId="179" fontId="4" fillId="2" borderId="41" xfId="4" applyNumberFormat="1" applyFont="1" applyFill="1" applyBorder="1" applyAlignment="1">
      <alignment horizontal="center" vertical="center" wrapText="1"/>
    </xf>
    <xf numFmtId="179" fontId="4" fillId="2" borderId="53" xfId="4" applyNumberFormat="1" applyFont="1" applyFill="1" applyBorder="1" applyAlignment="1">
      <alignment horizontal="center" vertical="center" wrapText="1"/>
    </xf>
    <xf numFmtId="179" fontId="4" fillId="2" borderId="42" xfId="4" applyNumberFormat="1" applyFont="1" applyFill="1" applyBorder="1" applyAlignment="1">
      <alignment horizontal="center" vertical="center" wrapText="1"/>
    </xf>
    <xf numFmtId="179"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8" fontId="3" fillId="2" borderId="11" xfId="4" applyNumberFormat="1" applyFont="1" applyFill="1" applyBorder="1" applyProtection="1">
      <protection locked="0"/>
    </xf>
    <xf numFmtId="1" fontId="3" fillId="0" borderId="47" xfId="4" applyNumberFormat="1" applyFont="1" applyFill="1" applyBorder="1"/>
    <xf numFmtId="166"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4" fillId="0" borderId="0" xfId="0" applyFont="1" applyFill="1"/>
    <xf numFmtId="0" fontId="0" fillId="0" borderId="0" xfId="0" applyFill="1" applyAlignment="1"/>
    <xf numFmtId="0" fontId="15" fillId="0" borderId="0" xfId="0" applyFont="1" applyFill="1"/>
    <xf numFmtId="0" fontId="62"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9"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1" fontId="50" fillId="15" borderId="0" xfId="0" applyNumberFormat="1" applyFont="1" applyFill="1" applyBorder="1" applyAlignment="1" applyProtection="1">
      <alignment horizontal="right"/>
      <protection locked="0"/>
    </xf>
    <xf numFmtId="0" fontId="48" fillId="0" borderId="0" xfId="0" applyFont="1" applyBorder="1" applyAlignment="1">
      <alignment horizontal="left"/>
    </xf>
    <xf numFmtId="0" fontId="48"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8" fillId="0" borderId="0" xfId="4" applyFont="1" applyBorder="1" applyAlignment="1">
      <alignment horizontal="left"/>
    </xf>
    <xf numFmtId="0" fontId="48"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6"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2"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7" fillId="24" borderId="0" xfId="3" applyFont="1" applyFill="1" applyAlignment="1" applyProtection="1"/>
    <xf numFmtId="0" fontId="67" fillId="24" borderId="0" xfId="3" applyFont="1" applyFill="1" applyBorder="1" applyAlignment="1" applyProtection="1">
      <alignment horizontal="left" vertical="center"/>
    </xf>
    <xf numFmtId="170"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7" fontId="0" fillId="10" borderId="2" xfId="0" applyNumberFormat="1" applyFill="1" applyBorder="1"/>
    <xf numFmtId="167" fontId="0" fillId="18" borderId="0" xfId="0" applyNumberFormat="1" applyFill="1" applyBorder="1"/>
    <xf numFmtId="167"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7" fontId="27" fillId="0" borderId="0" xfId="0" applyNumberFormat="1" applyFont="1" applyFill="1" applyBorder="1"/>
    <xf numFmtId="0" fontId="50" fillId="12" borderId="61" xfId="0" applyNumberFormat="1" applyFont="1" applyFill="1" applyBorder="1" applyAlignment="1" applyProtection="1">
      <alignment vertical="center"/>
    </xf>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0" fontId="4"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horizontal="right" vertical="center"/>
      <protection locked="0"/>
    </xf>
    <xf numFmtId="0" fontId="4" fillId="8" borderId="26" xfId="0" applyFont="1" applyFill="1" applyBorder="1" applyAlignment="1" applyProtection="1">
      <alignment vertical="center"/>
    </xf>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8" fillId="0" borderId="0" xfId="4" applyFont="1" applyBorder="1" applyAlignment="1">
      <alignment horizontal="center"/>
    </xf>
    <xf numFmtId="0" fontId="48" fillId="0" borderId="0" xfId="0" applyFont="1" applyAlignment="1">
      <alignment horizontal="center"/>
    </xf>
    <xf numFmtId="0" fontId="70" fillId="0" borderId="0" xfId="4" applyFont="1" applyBorder="1" applyAlignment="1">
      <alignment horizontal="right"/>
    </xf>
    <xf numFmtId="0" fontId="70" fillId="0" borderId="22" xfId="4" applyFont="1" applyBorder="1" applyAlignment="1">
      <alignment horizontal="right"/>
    </xf>
    <xf numFmtId="0" fontId="70" fillId="0" borderId="0" xfId="0" applyFont="1" applyAlignment="1">
      <alignment horizontal="right"/>
    </xf>
    <xf numFmtId="0" fontId="70" fillId="0" borderId="0" xfId="0" applyFont="1" applyBorder="1" applyAlignment="1">
      <alignment horizontal="right"/>
    </xf>
    <xf numFmtId="0" fontId="66" fillId="0" borderId="0" xfId="0" applyFont="1"/>
    <xf numFmtId="166" fontId="7" fillId="4" borderId="63" xfId="4" applyNumberFormat="1" applyFont="1" applyFill="1" applyBorder="1" applyAlignment="1"/>
    <xf numFmtId="168" fontId="3" fillId="0" borderId="0" xfId="4" applyNumberFormat="1"/>
    <xf numFmtId="0" fontId="4" fillId="2" borderId="20" xfId="4" applyFont="1" applyFill="1" applyBorder="1" applyAlignment="1">
      <alignment horizontal="center" vertical="center" wrapText="1"/>
    </xf>
    <xf numFmtId="0" fontId="48"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6" fontId="4" fillId="4" borderId="41" xfId="4" applyNumberFormat="1" applyFont="1" applyFill="1" applyBorder="1" applyAlignment="1"/>
    <xf numFmtId="166"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82" fontId="3" fillId="17" borderId="11" xfId="4" applyNumberFormat="1" applyFill="1" applyBorder="1" applyAlignment="1">
      <alignment horizontal="center" vertical="center"/>
    </xf>
    <xf numFmtId="165" fontId="3" fillId="0" borderId="0" xfId="7" applyNumberFormat="1" applyFont="1"/>
    <xf numFmtId="0" fontId="3" fillId="0" borderId="0" xfId="0" quotePrefix="1" applyFont="1"/>
    <xf numFmtId="0" fontId="48" fillId="0" borderId="0" xfId="0" applyFont="1" applyAlignment="1">
      <alignment horizontal="left"/>
    </xf>
    <xf numFmtId="0" fontId="4" fillId="8" borderId="11" xfId="4" applyFont="1" applyFill="1" applyBorder="1" applyAlignment="1">
      <alignment horizontal="center" vertical="center"/>
    </xf>
    <xf numFmtId="168"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8" fontId="3" fillId="8" borderId="0" xfId="4" applyNumberFormat="1" applyFill="1" applyAlignment="1">
      <alignment horizontal="left"/>
    </xf>
    <xf numFmtId="0" fontId="4" fillId="8" borderId="0" xfId="4" applyFont="1" applyFill="1" applyAlignment="1">
      <alignment vertical="center"/>
    </xf>
    <xf numFmtId="168"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5" fillId="8" borderId="0" xfId="4" applyFont="1" applyFill="1"/>
    <xf numFmtId="168" fontId="75" fillId="8" borderId="0" xfId="4" applyNumberFormat="1" applyFont="1" applyFill="1" applyAlignment="1">
      <alignment horizontal="right"/>
    </xf>
    <xf numFmtId="0" fontId="75" fillId="8" borderId="0" xfId="4" applyFont="1" applyFill="1" applyAlignment="1">
      <alignment horizontal="left" vertical="center"/>
    </xf>
    <xf numFmtId="166" fontId="75" fillId="8" borderId="0" xfId="4" applyNumberFormat="1" applyFont="1" applyFill="1"/>
    <xf numFmtId="168" fontId="3" fillId="17" borderId="11" xfId="4" applyNumberFormat="1" applyFill="1" applyBorder="1" applyAlignment="1">
      <alignment horizontal="center" vertical="center"/>
    </xf>
    <xf numFmtId="168"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8" fillId="8" borderId="11" xfId="4" applyFont="1" applyFill="1" applyBorder="1" applyAlignment="1">
      <alignment horizontal="center" vertical="center"/>
    </xf>
    <xf numFmtId="0" fontId="59" fillId="8" borderId="0" xfId="4" applyFont="1" applyFill="1" applyAlignment="1">
      <alignment horizontal="left" vertical="center"/>
    </xf>
    <xf numFmtId="0" fontId="54" fillId="3" borderId="69" xfId="4" applyFont="1" applyFill="1" applyBorder="1" applyAlignment="1">
      <alignment horizontal="center" vertical="center"/>
    </xf>
    <xf numFmtId="49" fontId="73" fillId="14" borderId="68" xfId="4" applyNumberFormat="1" applyFont="1" applyFill="1" applyBorder="1" applyAlignment="1">
      <alignment horizontal="center" vertical="center"/>
    </xf>
    <xf numFmtId="0" fontId="73" fillId="14" borderId="47" xfId="4" applyFont="1" applyFill="1" applyBorder="1" applyAlignment="1">
      <alignment horizontal="center" vertical="center"/>
    </xf>
    <xf numFmtId="168" fontId="76" fillId="0" borderId="0" xfId="4" applyNumberFormat="1" applyFont="1" applyFill="1" applyAlignment="1">
      <alignment horizontal="right" vertical="center"/>
    </xf>
    <xf numFmtId="166" fontId="76" fillId="8" borderId="0" xfId="4" applyNumberFormat="1" applyFont="1" applyFill="1" applyAlignment="1">
      <alignment vertical="center"/>
    </xf>
    <xf numFmtId="49" fontId="59" fillId="8" borderId="0" xfId="4" applyNumberFormat="1" applyFont="1" applyFill="1" applyAlignment="1" applyProtection="1">
      <alignment horizontal="left" vertical="center"/>
      <protection locked="0" hidden="1"/>
    </xf>
    <xf numFmtId="0" fontId="59" fillId="8" borderId="0" xfId="4" applyFont="1" applyFill="1" applyAlignment="1" applyProtection="1">
      <alignment horizontal="left" vertical="center"/>
      <protection locked="0" hidden="1"/>
    </xf>
    <xf numFmtId="0" fontId="3" fillId="8" borderId="0" xfId="4" applyFont="1" applyFill="1" applyAlignment="1" applyProtection="1">
      <alignment vertical="center"/>
      <protection locked="0" hidden="1"/>
    </xf>
    <xf numFmtId="0" fontId="55" fillId="12" borderId="0" xfId="0" applyFont="1" applyFill="1" applyAlignment="1"/>
    <xf numFmtId="0" fontId="59" fillId="8" borderId="0" xfId="4" applyFont="1" applyFill="1"/>
    <xf numFmtId="0" fontId="76" fillId="8" borderId="0" xfId="4" applyFont="1" applyFill="1" applyAlignment="1">
      <alignment horizontal="left"/>
    </xf>
    <xf numFmtId="0" fontId="48" fillId="0" borderId="22" xfId="0" applyFont="1" applyBorder="1"/>
    <xf numFmtId="0" fontId="17" fillId="24" borderId="0" xfId="0" applyFont="1" applyFill="1" applyProtection="1"/>
    <xf numFmtId="0" fontId="17" fillId="12" borderId="35" xfId="0" applyFont="1" applyFill="1" applyBorder="1" applyProtection="1"/>
    <xf numFmtId="170" fontId="17" fillId="12" borderId="39" xfId="0" applyNumberFormat="1" applyFont="1" applyFill="1" applyBorder="1" applyAlignment="1" applyProtection="1">
      <alignment horizontal="center"/>
    </xf>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3" fillId="8" borderId="35" xfId="0" applyNumberFormat="1" applyFont="1" applyFill="1" applyBorder="1" applyAlignment="1" applyProtection="1">
      <alignment horizontal="right"/>
    </xf>
    <xf numFmtId="0" fontId="3" fillId="8" borderId="35" xfId="0" applyFont="1" applyFill="1" applyBorder="1" applyAlignment="1" applyProtection="1"/>
    <xf numFmtId="0" fontId="50"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0" fontId="4" fillId="12" borderId="26" xfId="0" applyNumberFormat="1" applyFont="1" applyFill="1" applyBorder="1" applyAlignment="1" applyProtection="1">
      <alignment vertical="center"/>
    </xf>
    <xf numFmtId="0" fontId="3" fillId="8" borderId="35" xfId="0" applyFont="1" applyFill="1" applyBorder="1" applyAlignment="1" applyProtection="1">
      <alignment horizontal="left"/>
    </xf>
    <xf numFmtId="1" fontId="49"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60" fillId="13" borderId="35" xfId="0" applyFont="1" applyFill="1" applyBorder="1" applyAlignment="1" applyProtection="1">
      <alignment vertical="center"/>
    </xf>
    <xf numFmtId="0" fontId="17" fillId="13" borderId="35" xfId="0" applyFont="1" applyFill="1" applyBorder="1" applyProtection="1"/>
    <xf numFmtId="0" fontId="78"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20" fontId="0" fillId="0" borderId="0" xfId="0" applyNumberFormat="1"/>
    <xf numFmtId="167" fontId="0" fillId="0" borderId="0" xfId="0" applyNumberFormat="1" applyFill="1" applyBorder="1"/>
    <xf numFmtId="184" fontId="0" fillId="0" borderId="0" xfId="0" applyNumberFormat="1" applyBorder="1" applyAlignment="1">
      <alignment horizontal="right"/>
    </xf>
    <xf numFmtId="184"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6" fontId="3" fillId="4" borderId="35" xfId="4" applyNumberFormat="1" applyFill="1" applyBorder="1"/>
    <xf numFmtId="166"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6" fontId="4" fillId="26" borderId="0" xfId="4" applyNumberFormat="1" applyFont="1" applyFill="1" applyAlignment="1">
      <alignment horizontal="center" vertical="center" wrapText="1"/>
    </xf>
    <xf numFmtId="166" fontId="0" fillId="0" borderId="0" xfId="0" applyNumberFormat="1"/>
    <xf numFmtId="2" fontId="3" fillId="0" borderId="0" xfId="7" applyNumberFormat="1" applyFont="1"/>
    <xf numFmtId="2" fontId="4" fillId="0" borderId="0" xfId="0" applyNumberFormat="1" applyFont="1"/>
    <xf numFmtId="168" fontId="4" fillId="0" borderId="0" xfId="4" applyNumberFormat="1" applyFont="1"/>
    <xf numFmtId="167" fontId="4" fillId="0" borderId="0" xfId="4" applyNumberFormat="1" applyFont="1"/>
    <xf numFmtId="0" fontId="4" fillId="4" borderId="0" xfId="4" applyFont="1" applyFill="1" applyBorder="1" applyAlignment="1">
      <alignment horizontal="left"/>
    </xf>
    <xf numFmtId="2" fontId="3" fillId="0" borderId="0" xfId="0" applyNumberFormat="1" applyFont="1"/>
    <xf numFmtId="168" fontId="3" fillId="0" borderId="0" xfId="4" applyNumberFormat="1" applyFont="1"/>
    <xf numFmtId="2" fontId="3" fillId="0" borderId="0" xfId="4" applyNumberFormat="1" applyFont="1"/>
    <xf numFmtId="1" fontId="3" fillId="0" borderId="0" xfId="4" applyNumberFormat="1" applyFont="1"/>
    <xf numFmtId="167" fontId="3" fillId="0" borderId="0" xfId="0" applyNumberFormat="1" applyFont="1"/>
    <xf numFmtId="167" fontId="4" fillId="0" borderId="0" xfId="0" applyNumberFormat="1" applyFont="1"/>
    <xf numFmtId="0" fontId="4" fillId="4" borderId="35" xfId="4" applyFont="1" applyFill="1" applyBorder="1" applyAlignment="1"/>
    <xf numFmtId="168"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0" borderId="0" xfId="0" applyNumberFormat="1" applyFon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8" fontId="15" fillId="18" borderId="0" xfId="0" applyNumberFormat="1" applyFont="1" applyFill="1" applyBorder="1" applyAlignment="1">
      <alignment horizontal="right"/>
    </xf>
    <xf numFmtId="177" fontId="27" fillId="0" borderId="0" xfId="0" applyNumberFormat="1" applyFont="1" applyFill="1" applyBorder="1"/>
    <xf numFmtId="0" fontId="3" fillId="0" borderId="33" xfId="0" applyFont="1" applyBorder="1"/>
    <xf numFmtId="168" fontId="27" fillId="4" borderId="0" xfId="0" applyNumberFormat="1" applyFont="1" applyFill="1" applyBorder="1"/>
    <xf numFmtId="166" fontId="27" fillId="0" borderId="0" xfId="0" applyNumberFormat="1" applyFont="1" applyFill="1" applyBorder="1"/>
    <xf numFmtId="167"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17" fillId="12" borderId="40" xfId="0" applyFont="1" applyFill="1" applyBorder="1" applyProtection="1"/>
    <xf numFmtId="0" fontId="3" fillId="0" borderId="0" xfId="0" applyNumberFormat="1" applyFont="1"/>
    <xf numFmtId="0" fontId="79" fillId="0" borderId="0" xfId="0" applyFont="1" applyAlignment="1">
      <alignment horizontal="right"/>
    </xf>
    <xf numFmtId="1" fontId="3" fillId="0" borderId="0" xfId="0" applyNumberFormat="1" applyFont="1"/>
    <xf numFmtId="168" fontId="3" fillId="0" borderId="0" xfId="0" applyNumberFormat="1" applyFont="1"/>
    <xf numFmtId="1" fontId="50"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80" fillId="0" borderId="0" xfId="0" applyFont="1" applyAlignment="1">
      <alignment vertical="center" wrapText="1"/>
    </xf>
    <xf numFmtId="0" fontId="3" fillId="0" borderId="0" xfId="0" applyNumberFormat="1" applyFont="1" applyFill="1" applyBorder="1" applyAlignment="1" applyProtection="1">
      <alignment horizontal="right" vertical="center"/>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8" fontId="49" fillId="12" borderId="35" xfId="0" applyNumberFormat="1" applyFont="1" applyFill="1" applyBorder="1" applyAlignment="1" applyProtection="1">
      <alignment vertical="center"/>
    </xf>
    <xf numFmtId="166" fontId="3" fillId="0" borderId="0" xfId="0" applyNumberFormat="1" applyFont="1"/>
    <xf numFmtId="1" fontId="4" fillId="12" borderId="0" xfId="0" applyNumberFormat="1" applyFont="1" applyFill="1" applyBorder="1" applyAlignment="1" applyProtection="1">
      <alignment vertical="center"/>
    </xf>
    <xf numFmtId="1" fontId="66" fillId="0" borderId="0" xfId="0" applyNumberFormat="1" applyFont="1" applyFill="1" applyBorder="1" applyAlignment="1" applyProtection="1">
      <alignment horizontal="right" vertical="center"/>
    </xf>
    <xf numFmtId="168"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5" fillId="8" borderId="75" xfId="0" applyFont="1" applyFill="1" applyBorder="1" applyProtection="1"/>
    <xf numFmtId="0" fontId="45" fillId="8" borderId="76" xfId="0" applyFont="1" applyFill="1" applyBorder="1" applyProtection="1"/>
    <xf numFmtId="0" fontId="45"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7" fontId="4" fillId="0" borderId="2" xfId="0" applyNumberFormat="1" applyFont="1" applyFill="1" applyBorder="1"/>
    <xf numFmtId="0" fontId="81" fillId="0" borderId="22" xfId="0" applyFont="1" applyBorder="1"/>
    <xf numFmtId="0" fontId="48" fillId="0" borderId="0" xfId="0" applyFont="1" applyBorder="1"/>
    <xf numFmtId="0" fontId="27" fillId="18" borderId="0" xfId="0" applyNumberFormat="1" applyFont="1" applyFill="1" applyBorder="1" applyAlignment="1">
      <alignment horizontal="right"/>
    </xf>
    <xf numFmtId="180" fontId="3" fillId="16" borderId="8" xfId="4" applyNumberFormat="1" applyFill="1" applyBorder="1" applyAlignment="1">
      <alignment horizontal="left" vertical="center"/>
    </xf>
    <xf numFmtId="180"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3" fillId="8" borderId="38" xfId="0" applyFont="1" applyFill="1" applyBorder="1" applyAlignment="1" applyProtection="1">
      <alignment horizontal="right"/>
    </xf>
    <xf numFmtId="0" fontId="48" fillId="0" borderId="0" xfId="0" applyFont="1" applyAlignment="1">
      <alignment horizontal="right"/>
    </xf>
    <xf numFmtId="0" fontId="4" fillId="2" borderId="19" xfId="4" applyFont="1" applyFill="1" applyBorder="1" applyAlignment="1">
      <alignment horizontal="center" vertical="center" wrapText="1"/>
    </xf>
    <xf numFmtId="166" fontId="4" fillId="26" borderId="19" xfId="4" applyNumberFormat="1" applyFont="1" applyFill="1" applyBorder="1" applyAlignment="1">
      <alignment horizontal="center" vertical="center" wrapText="1"/>
    </xf>
    <xf numFmtId="166" fontId="4" fillId="26" borderId="20" xfId="4" applyNumberFormat="1" applyFont="1" applyFill="1" applyBorder="1" applyAlignment="1">
      <alignment horizontal="center" vertical="center" wrapText="1"/>
    </xf>
    <xf numFmtId="166" fontId="4" fillId="26" borderId="73" xfId="4" applyNumberFormat="1" applyFont="1" applyFill="1" applyBorder="1" applyAlignment="1">
      <alignment horizontal="center" vertical="center" wrapText="1"/>
    </xf>
    <xf numFmtId="166"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8" fontId="3" fillId="8" borderId="35" xfId="0" applyNumberFormat="1" applyFont="1" applyFill="1" applyBorder="1" applyAlignment="1" applyProtection="1">
      <alignment horizontal="right" vertical="center"/>
    </xf>
    <xf numFmtId="2" fontId="48" fillId="0" borderId="0" xfId="0" applyNumberFormat="1" applyFont="1" applyAlignment="1">
      <alignment horizontal="left"/>
    </xf>
    <xf numFmtId="2" fontId="48" fillId="0" borderId="0" xfId="0" applyNumberFormat="1" applyFont="1" applyAlignment="1">
      <alignment horizontal="right"/>
    </xf>
    <xf numFmtId="167" fontId="4" fillId="0" borderId="0" xfId="0" applyNumberFormat="1" applyFont="1" applyAlignment="1">
      <alignment horizontal="right"/>
    </xf>
    <xf numFmtId="167"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173" fontId="3" fillId="12" borderId="11" xfId="4" applyNumberFormat="1" applyFill="1" applyBorder="1" applyAlignment="1">
      <alignment horizontal="center" vertical="center"/>
    </xf>
    <xf numFmtId="0" fontId="3" fillId="12" borderId="70" xfId="4" applyFill="1" applyBorder="1" applyAlignment="1">
      <alignment horizontal="center" vertical="center"/>
    </xf>
    <xf numFmtId="168" fontId="3" fillId="12" borderId="11" xfId="4" applyNumberFormat="1" applyFill="1" applyBorder="1" applyAlignment="1">
      <alignment horizontal="center" vertical="center"/>
    </xf>
    <xf numFmtId="0" fontId="59" fillId="12" borderId="0" xfId="4" applyFont="1" applyFill="1" applyAlignment="1">
      <alignment horizontal="left" vertical="center"/>
    </xf>
    <xf numFmtId="0" fontId="3" fillId="12" borderId="0" xfId="4" applyFill="1" applyAlignment="1">
      <alignment vertical="center"/>
    </xf>
    <xf numFmtId="0" fontId="59" fillId="12" borderId="0" xfId="4" applyFont="1" applyFill="1" applyAlignment="1" applyProtection="1">
      <alignment horizontal="left" vertical="center"/>
      <protection locked="0" hidden="1"/>
    </xf>
    <xf numFmtId="181" fontId="3" fillId="12" borderId="8" xfId="4" applyNumberFormat="1" applyFill="1" applyBorder="1" applyAlignment="1">
      <alignment horizontal="left" vertical="center"/>
    </xf>
    <xf numFmtId="181"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 fontId="3" fillId="12" borderId="11" xfId="4" applyNumberFormat="1" applyFill="1" applyBorder="1" applyAlignment="1">
      <alignment horizontal="center" vertical="center"/>
    </xf>
    <xf numFmtId="0" fontId="4" fillId="12" borderId="0" xfId="0" applyFont="1" applyFill="1" applyBorder="1" applyAlignment="1" applyProtection="1">
      <alignment horizontal="right"/>
    </xf>
    <xf numFmtId="167" fontId="48" fillId="0" borderId="0" xfId="0" applyNumberFormat="1" applyFont="1" applyAlignment="1">
      <alignment horizontal="left"/>
    </xf>
    <xf numFmtId="168" fontId="3" fillId="8" borderId="63" xfId="0" applyNumberFormat="1" applyFont="1" applyFill="1" applyBorder="1" applyAlignment="1" applyProtection="1">
      <alignment horizontal="right" vertical="center"/>
    </xf>
    <xf numFmtId="1" fontId="49" fillId="8" borderId="35" xfId="2" applyNumberFormat="1" applyFont="1" applyFill="1" applyBorder="1" applyAlignment="1" applyProtection="1">
      <alignment horizontal="right" vertical="center"/>
    </xf>
    <xf numFmtId="0" fontId="3" fillId="8" borderId="0" xfId="0" applyNumberFormat="1" applyFont="1" applyFill="1" applyBorder="1" applyAlignment="1" applyProtection="1"/>
    <xf numFmtId="2" fontId="7" fillId="10" borderId="0" xfId="0" applyNumberFormat="1" applyFont="1" applyFill="1" applyBorder="1"/>
    <xf numFmtId="0" fontId="3" fillId="12" borderId="64" xfId="0" applyNumberFormat="1" applyFont="1" applyFill="1" applyBorder="1" applyAlignment="1" applyProtection="1">
      <alignment vertical="center"/>
    </xf>
    <xf numFmtId="165" fontId="0" fillId="0" borderId="0" xfId="0" applyNumberFormat="1"/>
    <xf numFmtId="168" fontId="3" fillId="12" borderId="0" xfId="0" applyNumberFormat="1" applyFont="1" applyFill="1" applyAlignment="1" applyProtection="1">
      <alignment horizontal="right"/>
    </xf>
    <xf numFmtId="0" fontId="3" fillId="12" borderId="23" xfId="0" applyNumberFormat="1" applyFont="1" applyFill="1" applyBorder="1" applyAlignment="1" applyProtection="1"/>
    <xf numFmtId="0" fontId="3" fillId="12" borderId="40" xfId="0" applyNumberFormat="1" applyFont="1" applyFill="1" applyBorder="1" applyAlignment="1" applyProtection="1"/>
    <xf numFmtId="2" fontId="3" fillId="8" borderId="39" xfId="0" applyNumberFormat="1" applyFont="1" applyFill="1" applyBorder="1" applyAlignment="1" applyProtection="1">
      <alignment horizontal="right"/>
    </xf>
    <xf numFmtId="0" fontId="76" fillId="8" borderId="0" xfId="4" applyFont="1" applyFill="1" applyAlignment="1">
      <alignment horizontal="right" wrapText="1"/>
    </xf>
    <xf numFmtId="178" fontId="3" fillId="16" borderId="8" xfId="4" applyNumberFormat="1" applyFill="1" applyBorder="1" applyAlignment="1">
      <alignment horizontal="left" vertical="center"/>
    </xf>
    <xf numFmtId="178" fontId="3" fillId="16" borderId="9" xfId="4" applyNumberFormat="1" applyFill="1" applyBorder="1" applyAlignment="1">
      <alignment horizontal="left" vertical="center"/>
    </xf>
    <xf numFmtId="0" fontId="54" fillId="3" borderId="69" xfId="4" applyFont="1" applyFill="1" applyBorder="1" applyAlignment="1">
      <alignment horizontal="center" vertical="center"/>
    </xf>
    <xf numFmtId="0" fontId="54" fillId="3" borderId="71" xfId="4" applyFont="1" applyFill="1" applyBorder="1" applyAlignment="1">
      <alignment horizontal="center" vertical="center"/>
    </xf>
    <xf numFmtId="0" fontId="54" fillId="3" borderId="72" xfId="4" applyFont="1" applyFill="1" applyBorder="1" applyAlignment="1">
      <alignment horizontal="center" vertical="center"/>
    </xf>
    <xf numFmtId="183" fontId="3" fillId="17" borderId="8" xfId="4" applyNumberFormat="1" applyFill="1" applyBorder="1" applyAlignment="1">
      <alignment horizontal="left" vertical="center"/>
    </xf>
    <xf numFmtId="183" fontId="3" fillId="17" borderId="9" xfId="4" applyNumberFormat="1" applyFill="1" applyBorder="1" applyAlignment="1">
      <alignment horizontal="left" vertical="center"/>
    </xf>
    <xf numFmtId="181" fontId="3" fillId="12" borderId="8" xfId="4" applyNumberFormat="1" applyFill="1" applyBorder="1" applyAlignment="1">
      <alignment horizontal="left" vertical="center"/>
    </xf>
    <xf numFmtId="181" fontId="3" fillId="12" borderId="9" xfId="4" applyNumberFormat="1" applyFill="1" applyBorder="1" applyAlignment="1">
      <alignment horizontal="left" vertical="center"/>
    </xf>
    <xf numFmtId="175" fontId="3" fillId="12" borderId="8" xfId="4" applyNumberFormat="1" applyFill="1" applyBorder="1" applyAlignment="1">
      <alignment horizontal="left" vertical="center"/>
    </xf>
    <xf numFmtId="175" fontId="3" fillId="12" borderId="9" xfId="4" applyNumberFormat="1" applyFill="1" applyBorder="1" applyAlignment="1">
      <alignment horizontal="left" vertical="center"/>
    </xf>
    <xf numFmtId="174" fontId="3" fillId="12" borderId="8" xfId="4" applyNumberFormat="1" applyFill="1" applyBorder="1" applyAlignment="1">
      <alignment horizontal="left" vertical="center" wrapText="1"/>
    </xf>
    <xf numFmtId="174" fontId="3" fillId="12" borderId="9" xfId="4" applyNumberFormat="1" applyFill="1" applyBorder="1" applyAlignment="1">
      <alignment horizontal="left" vertical="center" wrapText="1"/>
    </xf>
    <xf numFmtId="174" fontId="3" fillId="12" borderId="15" xfId="4" applyNumberFormat="1" applyFill="1" applyBorder="1" applyAlignment="1">
      <alignment horizontal="left" vertical="center" wrapText="1"/>
    </xf>
    <xf numFmtId="181" fontId="3" fillId="17" borderId="8" xfId="4" applyNumberFormat="1" applyFill="1" applyBorder="1" applyAlignment="1">
      <alignment horizontal="left" vertical="center"/>
    </xf>
    <xf numFmtId="181" fontId="3" fillId="17" borderId="9" xfId="4" applyNumberFormat="1" applyFill="1" applyBorder="1" applyAlignment="1">
      <alignment horizontal="left" vertical="center"/>
    </xf>
    <xf numFmtId="180" fontId="3" fillId="16" borderId="8" xfId="4" applyNumberFormat="1" applyFill="1" applyBorder="1" applyAlignment="1">
      <alignment horizontal="left" vertical="center"/>
    </xf>
    <xf numFmtId="180" fontId="3" fillId="16" borderId="9" xfId="4" applyNumberFormat="1" applyFill="1" applyBorder="1" applyAlignment="1">
      <alignment horizontal="left" vertical="center"/>
    </xf>
    <xf numFmtId="175" fontId="3" fillId="17" borderId="8" xfId="4" applyNumberFormat="1" applyFill="1" applyBorder="1" applyAlignment="1">
      <alignment horizontal="left" vertical="center"/>
    </xf>
    <xf numFmtId="175" fontId="3" fillId="17" borderId="9" xfId="4" applyNumberFormat="1" applyFill="1" applyBorder="1" applyAlignment="1">
      <alignment horizontal="left" vertical="center"/>
    </xf>
    <xf numFmtId="0" fontId="40" fillId="12" borderId="22" xfId="0" applyFont="1" applyFill="1" applyBorder="1" applyAlignment="1" applyProtection="1">
      <alignment horizontal="left" vertical="center"/>
    </xf>
    <xf numFmtId="0" fontId="40" fillId="12" borderId="0" xfId="0" applyFont="1" applyFill="1" applyBorder="1" applyAlignment="1" applyProtection="1">
      <alignment horizontal="left" vertical="center"/>
    </xf>
    <xf numFmtId="0" fontId="4" fillId="0" borderId="0" xfId="0" applyFont="1" applyAlignment="1">
      <alignment horizontal="center"/>
    </xf>
    <xf numFmtId="0" fontId="5" fillId="3" borderId="0" xfId="0" applyFont="1" applyFill="1" applyAlignment="1">
      <alignment horizontal="left"/>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78" xfId="4" applyFont="1" applyFill="1" applyBorder="1" applyAlignment="1">
      <alignment horizontal="left"/>
    </xf>
    <xf numFmtId="0" fontId="4" fillId="4" borderId="66" xfId="4" applyFont="1" applyFill="1" applyBorder="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cellXfs>
  <cellStyles count="8">
    <cellStyle name="Comma" xfId="2" builtinId="3"/>
    <cellStyle name="Comma 2" xfId="6" xr:uid="{00000000-0005-0000-0000-000001000000}"/>
    <cellStyle name="Hyperlink" xfId="3" builtinId="8"/>
    <cellStyle name="Normal" xfId="0" builtinId="0"/>
    <cellStyle name="Normal 2" xfId="4" xr:uid="{00000000-0005-0000-0000-000004000000}"/>
    <cellStyle name="Normal 3" xfId="5" xr:uid="{00000000-0005-0000-0000-000005000000}"/>
    <cellStyle name="Percent" xfId="7" builtinId="5"/>
    <cellStyle name="RowLevel_1" xfId="1" builtinId="1" iLevel="0"/>
  </cellStyles>
  <dxfs count="59">
    <dxf>
      <border>
        <left style="thin">
          <color indexed="64"/>
        </left>
        <right style="thin">
          <color indexed="64"/>
        </right>
        <top style="thin">
          <color indexed="64"/>
        </top>
        <bottom style="thin">
          <color indexed="64"/>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99"/>
      </font>
    </dxf>
    <dxf>
      <font>
        <color theme="0"/>
      </font>
    </dxf>
    <dxf>
      <font>
        <color theme="0"/>
      </font>
      <fill>
        <patternFill patternType="solid">
          <fgColor auto="1"/>
          <bgColor rgb="FFFF0000"/>
        </patternFill>
      </fill>
    </dxf>
    <dxf>
      <font>
        <color theme="0"/>
      </font>
      <fill>
        <patternFill>
          <bgColor theme="0"/>
        </patternFill>
      </fill>
    </dxf>
    <dxf>
      <font>
        <b/>
        <i val="0"/>
        <color rgb="FFFF0000"/>
      </font>
    </dxf>
    <dxf>
      <font>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color rgb="FFFF0000"/>
      </font>
    </dxf>
    <dxf>
      <font>
        <color rgb="FFFF0000"/>
      </font>
    </dxf>
    <dxf>
      <font>
        <b/>
        <i val="0"/>
        <color rgb="FFFF0000"/>
      </font>
    </dxf>
    <dxf>
      <font>
        <b/>
        <i val="0"/>
        <condense val="0"/>
        <extend val="0"/>
        <color indexed="12"/>
      </font>
    </dxf>
    <dxf>
      <font>
        <b/>
        <i val="0"/>
        <condense val="0"/>
        <extend val="0"/>
        <color indexed="10"/>
      </font>
    </dxf>
    <dxf>
      <font>
        <color rgb="FFFF0000"/>
      </font>
    </dxf>
    <dxf>
      <font>
        <color rgb="FFFF0000"/>
      </font>
    </dxf>
    <dxf>
      <font>
        <color rgb="FFFF0000"/>
      </font>
    </dxf>
    <dxf>
      <font>
        <color rgb="FFFF0000"/>
      </font>
    </dxf>
    <dxf>
      <border>
        <right/>
        <vertical/>
        <horizontal/>
      </border>
    </dxf>
    <dxf>
      <border>
        <left/>
        <right/>
        <top/>
        <bottom/>
        <vertical/>
        <horizontal/>
      </border>
    </dxf>
    <dxf>
      <border>
        <bottom/>
        <vertical/>
        <horizontal/>
      </border>
    </dxf>
    <dxf>
      <font>
        <color rgb="FFFF0000"/>
      </font>
    </dxf>
    <dxf>
      <font>
        <color rgb="FFFF0000"/>
      </font>
    </dxf>
    <dxf>
      <font>
        <color rgb="FFFF0000"/>
      </font>
    </dxf>
    <dxf>
      <font>
        <b/>
        <i val="0"/>
        <color rgb="FFC00000"/>
      </font>
    </dxf>
    <dxf>
      <font>
        <color theme="0"/>
      </font>
      <fill>
        <patternFill>
          <bgColor theme="0"/>
        </patternFill>
      </fill>
    </dxf>
    <dxf>
      <font>
        <b/>
        <i val="0"/>
        <color rgb="FFC00000"/>
      </font>
    </dxf>
    <dxf>
      <font>
        <color theme="0"/>
      </font>
    </dxf>
    <dxf>
      <font>
        <b/>
        <i val="0"/>
        <color rgb="FFC00000"/>
      </font>
    </dxf>
    <dxf>
      <font>
        <color theme="0"/>
      </font>
      <fill>
        <patternFill>
          <bgColor theme="0"/>
        </patternFill>
      </fill>
    </dxf>
    <dxf>
      <font>
        <color theme="0"/>
      </font>
    </dxf>
    <dxf>
      <font>
        <color rgb="FFFF0000"/>
      </font>
    </dxf>
    <dxf>
      <font>
        <color rgb="FFFF0000"/>
      </font>
    </dxf>
    <dxf>
      <font>
        <color rgb="FFFF0000"/>
      </font>
    </dxf>
    <dxf>
      <font>
        <color rgb="FFFF0000"/>
      </font>
    </dxf>
    <dxf>
      <font>
        <color rgb="FFFF0000"/>
      </font>
    </dxf>
    <dxf>
      <font>
        <b/>
        <i val="0"/>
        <color rgb="FFFF0000"/>
      </font>
    </dxf>
    <dxf>
      <font>
        <b/>
        <i val="0"/>
        <condense val="0"/>
        <extend val="0"/>
        <color indexed="10"/>
      </font>
    </dxf>
  </dxfs>
  <tableStyles count="0" defaultTableStyle="TableStyleMedium9" defaultPivotStyle="PivotStyleLight16"/>
  <colors>
    <mruColors>
      <color rgb="FFEE6112"/>
      <color rgb="FF0000FF"/>
      <color rgb="FFFFFF99"/>
      <color rgb="FFFFFF66"/>
      <color rgb="FFFF9900"/>
      <color rgb="FF33CC33"/>
      <color rgb="FFFF00FF"/>
      <color rgb="FF00FF00"/>
      <color rgb="FF99CC00"/>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Single'!$AN$110:$AN$210</c:f>
              <c:numCache>
                <c:formatCode>0.0</c:formatCode>
                <c:ptCount val="101"/>
                <c:pt idx="0">
                  <c:v>10</c:v>
                </c:pt>
                <c:pt idx="1">
                  <c:v>10</c:v>
                </c:pt>
                <c:pt idx="2">
                  <c:v>10</c:v>
                </c:pt>
                <c:pt idx="3">
                  <c:v>10</c:v>
                </c:pt>
                <c:pt idx="4">
                  <c:v>11.328505026483622</c:v>
                </c:pt>
                <c:pt idx="5">
                  <c:v>14.16063128310453</c:v>
                </c:pt>
                <c:pt idx="6">
                  <c:v>16.992757539725432</c:v>
                </c:pt>
                <c:pt idx="7">
                  <c:v>19.824883796346342</c:v>
                </c:pt>
                <c:pt idx="8">
                  <c:v>22.657010052967244</c:v>
                </c:pt>
                <c:pt idx="9">
                  <c:v>25.489136309588147</c:v>
                </c:pt>
                <c:pt idx="10">
                  <c:v>28.321262566209061</c:v>
                </c:pt>
                <c:pt idx="11">
                  <c:v>31.15338882282996</c:v>
                </c:pt>
                <c:pt idx="12">
                  <c:v>33.985515079450863</c:v>
                </c:pt>
                <c:pt idx="13">
                  <c:v>36.817641336071773</c:v>
                </c:pt>
                <c:pt idx="14">
                  <c:v>39.649767592692683</c:v>
                </c:pt>
                <c:pt idx="15">
                  <c:v>42.481893849313579</c:v>
                </c:pt>
                <c:pt idx="16">
                  <c:v>45.314020105934489</c:v>
                </c:pt>
                <c:pt idx="17">
                  <c:v>48.146146362555392</c:v>
                </c:pt>
                <c:pt idx="18">
                  <c:v>50.978272619176295</c:v>
                </c:pt>
                <c:pt idx="19">
                  <c:v>53.810398875797212</c:v>
                </c:pt>
                <c:pt idx="20">
                  <c:v>56.642525132418122</c:v>
                </c:pt>
                <c:pt idx="21">
                  <c:v>59.474651389039018</c:v>
                </c:pt>
                <c:pt idx="22">
                  <c:v>62.30677764565992</c:v>
                </c:pt>
                <c:pt idx="23">
                  <c:v>65.13890390228083</c:v>
                </c:pt>
                <c:pt idx="24">
                  <c:v>67.971030158901726</c:v>
                </c:pt>
                <c:pt idx="25">
                  <c:v>70.803156415522636</c:v>
                </c:pt>
                <c:pt idx="26">
                  <c:v>73.635282672143546</c:v>
                </c:pt>
                <c:pt idx="27">
                  <c:v>76.467408928764456</c:v>
                </c:pt>
                <c:pt idx="28">
                  <c:v>79.299535185385366</c:v>
                </c:pt>
                <c:pt idx="29">
                  <c:v>82.131661442006248</c:v>
                </c:pt>
                <c:pt idx="30">
                  <c:v>84.963787698627158</c:v>
                </c:pt>
                <c:pt idx="31">
                  <c:v>87.795913955248068</c:v>
                </c:pt>
                <c:pt idx="32">
                  <c:v>90.628040211868978</c:v>
                </c:pt>
                <c:pt idx="33">
                  <c:v>93.460166468489888</c:v>
                </c:pt>
                <c:pt idx="34">
                  <c:v>96.292292725110784</c:v>
                </c:pt>
                <c:pt idx="35">
                  <c:v>99.124418981731679</c:v>
                </c:pt>
                <c:pt idx="36">
                  <c:v>101.95654523835259</c:v>
                </c:pt>
                <c:pt idx="37">
                  <c:v>104.7886714949735</c:v>
                </c:pt>
                <c:pt idx="38">
                  <c:v>107.62079775159442</c:v>
                </c:pt>
                <c:pt idx="39">
                  <c:v>110.45292400821532</c:v>
                </c:pt>
                <c:pt idx="40">
                  <c:v>113.28505026483624</c:v>
                </c:pt>
                <c:pt idx="41">
                  <c:v>116.11717652145714</c:v>
                </c:pt>
                <c:pt idx="42">
                  <c:v>118.94930277807804</c:v>
                </c:pt>
                <c:pt idx="43">
                  <c:v>121.78142903469895</c:v>
                </c:pt>
                <c:pt idx="44">
                  <c:v>124.61355529131984</c:v>
                </c:pt>
                <c:pt idx="45">
                  <c:v>127.44568154794077</c:v>
                </c:pt>
                <c:pt idx="46">
                  <c:v>130.27780780456166</c:v>
                </c:pt>
                <c:pt idx="47">
                  <c:v>133.10993406118254</c:v>
                </c:pt>
                <c:pt idx="48">
                  <c:v>135.94206031780345</c:v>
                </c:pt>
                <c:pt idx="49">
                  <c:v>138.77418657442439</c:v>
                </c:pt>
                <c:pt idx="50">
                  <c:v>141.60631283104527</c:v>
                </c:pt>
                <c:pt idx="51">
                  <c:v>144.43843908766618</c:v>
                </c:pt>
                <c:pt idx="52">
                  <c:v>147.27056534428709</c:v>
                </c:pt>
                <c:pt idx="53">
                  <c:v>150.102691600908</c:v>
                </c:pt>
                <c:pt idx="54">
                  <c:v>152.93481785752891</c:v>
                </c:pt>
                <c:pt idx="55">
                  <c:v>155.76694411414982</c:v>
                </c:pt>
                <c:pt idx="56">
                  <c:v>158.59907037077073</c:v>
                </c:pt>
                <c:pt idx="57">
                  <c:v>161.43119662739159</c:v>
                </c:pt>
                <c:pt idx="58">
                  <c:v>164.2633228840125</c:v>
                </c:pt>
                <c:pt idx="59">
                  <c:v>167.09544914063341</c:v>
                </c:pt>
                <c:pt idx="60">
                  <c:v>169.92757539725432</c:v>
                </c:pt>
                <c:pt idx="61">
                  <c:v>172.75970165387523</c:v>
                </c:pt>
                <c:pt idx="62">
                  <c:v>175.59182791049614</c:v>
                </c:pt>
                <c:pt idx="63">
                  <c:v>178.42395416711705</c:v>
                </c:pt>
                <c:pt idx="64">
                  <c:v>181.25608042373796</c:v>
                </c:pt>
                <c:pt idx="65">
                  <c:v>184.08820668035887</c:v>
                </c:pt>
                <c:pt idx="66">
                  <c:v>186.92033293697978</c:v>
                </c:pt>
                <c:pt idx="67">
                  <c:v>189.75245919360066</c:v>
                </c:pt>
                <c:pt idx="68">
                  <c:v>192.58458545022157</c:v>
                </c:pt>
                <c:pt idx="69">
                  <c:v>195.41671170684245</c:v>
                </c:pt>
                <c:pt idx="70">
                  <c:v>198.24883796346336</c:v>
                </c:pt>
                <c:pt idx="71">
                  <c:v>201.08096422008427</c:v>
                </c:pt>
                <c:pt idx="72">
                  <c:v>203.91309047670518</c:v>
                </c:pt>
                <c:pt idx="73">
                  <c:v>206.74521673332609</c:v>
                </c:pt>
                <c:pt idx="74">
                  <c:v>209.577342989947</c:v>
                </c:pt>
                <c:pt idx="75">
                  <c:v>212.40946924656794</c:v>
                </c:pt>
                <c:pt idx="76">
                  <c:v>215.24159550318885</c:v>
                </c:pt>
                <c:pt idx="77">
                  <c:v>218.07372175980976</c:v>
                </c:pt>
                <c:pt idx="78">
                  <c:v>220.90584801643064</c:v>
                </c:pt>
                <c:pt idx="79">
                  <c:v>223.73797427305158</c:v>
                </c:pt>
                <c:pt idx="80">
                  <c:v>226.57010052967249</c:v>
                </c:pt>
                <c:pt idx="81">
                  <c:v>229.40222678629337</c:v>
                </c:pt>
                <c:pt idx="82">
                  <c:v>232.23435304291428</c:v>
                </c:pt>
                <c:pt idx="83">
                  <c:v>235.06647929953516</c:v>
                </c:pt>
                <c:pt idx="84">
                  <c:v>237.89860555615607</c:v>
                </c:pt>
                <c:pt idx="85">
                  <c:v>240.73073181277698</c:v>
                </c:pt>
                <c:pt idx="86">
                  <c:v>243.56285806939789</c:v>
                </c:pt>
                <c:pt idx="87">
                  <c:v>246.3949843260188</c:v>
                </c:pt>
                <c:pt idx="88">
                  <c:v>249.22711058263968</c:v>
                </c:pt>
                <c:pt idx="89">
                  <c:v>252.05923683926062</c:v>
                </c:pt>
                <c:pt idx="90">
                  <c:v>254.89136309588153</c:v>
                </c:pt>
                <c:pt idx="91">
                  <c:v>257.72348935250244</c:v>
                </c:pt>
                <c:pt idx="92">
                  <c:v>260.55561560912332</c:v>
                </c:pt>
                <c:pt idx="93">
                  <c:v>263.38774186574426</c:v>
                </c:pt>
                <c:pt idx="94">
                  <c:v>266.21986812236509</c:v>
                </c:pt>
                <c:pt idx="95">
                  <c:v>269.05199437898602</c:v>
                </c:pt>
                <c:pt idx="96">
                  <c:v>271.88412063560691</c:v>
                </c:pt>
                <c:pt idx="97">
                  <c:v>274.71624689222784</c:v>
                </c:pt>
                <c:pt idx="98">
                  <c:v>277.54837314884878</c:v>
                </c:pt>
                <c:pt idx="99">
                  <c:v>280.38049940546961</c:v>
                </c:pt>
                <c:pt idx="100">
                  <c:v>283.21262566209055</c:v>
                </c:pt>
              </c:numCache>
            </c:numRef>
          </c:val>
          <c:smooth val="0"/>
          <c:extLst>
            <c:ext xmlns:c16="http://schemas.microsoft.com/office/drawing/2014/chart" uri="{C3380CC4-5D6E-409C-BE32-E72D297353CC}">
              <c16:uniqueId val="{00000000-27D2-4EDF-AE4A-82FE0BEF745D}"/>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Single'!$AN$5:$AN$105</c:f>
              <c:numCache>
                <c:formatCode>0.0</c:formatCode>
                <c:ptCount val="101"/>
                <c:pt idx="0">
                  <c:v>10</c:v>
                </c:pt>
                <c:pt idx="1">
                  <c:v>10</c:v>
                </c:pt>
                <c:pt idx="2">
                  <c:v>10</c:v>
                </c:pt>
                <c:pt idx="3">
                  <c:v>10</c:v>
                </c:pt>
                <c:pt idx="4">
                  <c:v>11.328505026483622</c:v>
                </c:pt>
                <c:pt idx="5">
                  <c:v>14.16063128310453</c:v>
                </c:pt>
                <c:pt idx="6">
                  <c:v>16.992757539725432</c:v>
                </c:pt>
                <c:pt idx="7">
                  <c:v>19.824883796346342</c:v>
                </c:pt>
                <c:pt idx="8">
                  <c:v>22.657010052967244</c:v>
                </c:pt>
                <c:pt idx="9">
                  <c:v>25.489136309588147</c:v>
                </c:pt>
                <c:pt idx="10">
                  <c:v>28.321262566209061</c:v>
                </c:pt>
                <c:pt idx="11">
                  <c:v>31.15338882282996</c:v>
                </c:pt>
                <c:pt idx="12">
                  <c:v>33.985515079450863</c:v>
                </c:pt>
                <c:pt idx="13">
                  <c:v>36.817641336071773</c:v>
                </c:pt>
                <c:pt idx="14">
                  <c:v>39.649767592692683</c:v>
                </c:pt>
                <c:pt idx="15">
                  <c:v>42.481893849313579</c:v>
                </c:pt>
                <c:pt idx="16">
                  <c:v>45.314020105934489</c:v>
                </c:pt>
                <c:pt idx="17">
                  <c:v>48.146146362555392</c:v>
                </c:pt>
                <c:pt idx="18">
                  <c:v>50.978272619176295</c:v>
                </c:pt>
                <c:pt idx="19">
                  <c:v>53.810398875797212</c:v>
                </c:pt>
                <c:pt idx="20">
                  <c:v>56.642525132418122</c:v>
                </c:pt>
                <c:pt idx="21">
                  <c:v>59.474651389039018</c:v>
                </c:pt>
                <c:pt idx="22">
                  <c:v>62.30677764565992</c:v>
                </c:pt>
                <c:pt idx="23">
                  <c:v>65.13890390228083</c:v>
                </c:pt>
                <c:pt idx="24">
                  <c:v>67.971030158901726</c:v>
                </c:pt>
                <c:pt idx="25">
                  <c:v>70.803156415522636</c:v>
                </c:pt>
                <c:pt idx="26">
                  <c:v>73.635282672143546</c:v>
                </c:pt>
                <c:pt idx="27">
                  <c:v>76.467408928764456</c:v>
                </c:pt>
                <c:pt idx="28">
                  <c:v>79.299535185385366</c:v>
                </c:pt>
                <c:pt idx="29">
                  <c:v>82.131661442006248</c:v>
                </c:pt>
                <c:pt idx="30">
                  <c:v>84.963787698627158</c:v>
                </c:pt>
                <c:pt idx="31">
                  <c:v>87.795913955248068</c:v>
                </c:pt>
                <c:pt idx="32">
                  <c:v>90.628040211868978</c:v>
                </c:pt>
                <c:pt idx="33">
                  <c:v>93.460166468489888</c:v>
                </c:pt>
                <c:pt idx="34">
                  <c:v>96.292292725110784</c:v>
                </c:pt>
                <c:pt idx="35">
                  <c:v>99.124418981731679</c:v>
                </c:pt>
                <c:pt idx="36">
                  <c:v>101.95654523835259</c:v>
                </c:pt>
                <c:pt idx="37">
                  <c:v>104.7886714949735</c:v>
                </c:pt>
                <c:pt idx="38">
                  <c:v>107.62079775159442</c:v>
                </c:pt>
                <c:pt idx="39">
                  <c:v>110.45292400821532</c:v>
                </c:pt>
                <c:pt idx="40">
                  <c:v>113.28505026483624</c:v>
                </c:pt>
                <c:pt idx="41">
                  <c:v>116.11717652145714</c:v>
                </c:pt>
                <c:pt idx="42">
                  <c:v>118.94930277807804</c:v>
                </c:pt>
                <c:pt idx="43">
                  <c:v>121.78142903469895</c:v>
                </c:pt>
                <c:pt idx="44">
                  <c:v>124.61355529131984</c:v>
                </c:pt>
                <c:pt idx="45">
                  <c:v>127.44568154794077</c:v>
                </c:pt>
                <c:pt idx="46">
                  <c:v>130.27780780456166</c:v>
                </c:pt>
                <c:pt idx="47">
                  <c:v>133.10993406118254</c:v>
                </c:pt>
                <c:pt idx="48">
                  <c:v>135.94206031780345</c:v>
                </c:pt>
                <c:pt idx="49">
                  <c:v>138.77418657442439</c:v>
                </c:pt>
                <c:pt idx="50">
                  <c:v>141.60631283104527</c:v>
                </c:pt>
                <c:pt idx="51">
                  <c:v>144.43843908766618</c:v>
                </c:pt>
                <c:pt idx="52">
                  <c:v>147.27056534428709</c:v>
                </c:pt>
                <c:pt idx="53">
                  <c:v>150.102691600908</c:v>
                </c:pt>
                <c:pt idx="54">
                  <c:v>152.93481785752891</c:v>
                </c:pt>
                <c:pt idx="55">
                  <c:v>155.76694411414982</c:v>
                </c:pt>
                <c:pt idx="56">
                  <c:v>158.59907037077073</c:v>
                </c:pt>
                <c:pt idx="57">
                  <c:v>161.43119662739159</c:v>
                </c:pt>
                <c:pt idx="58">
                  <c:v>164.2633228840125</c:v>
                </c:pt>
                <c:pt idx="59">
                  <c:v>167.09544914063341</c:v>
                </c:pt>
                <c:pt idx="60">
                  <c:v>169.92757539725432</c:v>
                </c:pt>
                <c:pt idx="61">
                  <c:v>172.75970165387523</c:v>
                </c:pt>
                <c:pt idx="62">
                  <c:v>175.59182791049614</c:v>
                </c:pt>
                <c:pt idx="63">
                  <c:v>178.42395416711705</c:v>
                </c:pt>
                <c:pt idx="64">
                  <c:v>181.25608042373796</c:v>
                </c:pt>
                <c:pt idx="65">
                  <c:v>184.08820668035887</c:v>
                </c:pt>
                <c:pt idx="66">
                  <c:v>186.92033293697978</c:v>
                </c:pt>
                <c:pt idx="67">
                  <c:v>189.75245919360066</c:v>
                </c:pt>
                <c:pt idx="68">
                  <c:v>192.58458545022157</c:v>
                </c:pt>
                <c:pt idx="69">
                  <c:v>195.41671170684245</c:v>
                </c:pt>
                <c:pt idx="70">
                  <c:v>198.24883796346336</c:v>
                </c:pt>
                <c:pt idx="71">
                  <c:v>201.08096422008427</c:v>
                </c:pt>
                <c:pt idx="72">
                  <c:v>203.91309047670518</c:v>
                </c:pt>
                <c:pt idx="73">
                  <c:v>206.74521673332609</c:v>
                </c:pt>
                <c:pt idx="74">
                  <c:v>209.577342989947</c:v>
                </c:pt>
                <c:pt idx="75">
                  <c:v>212.40946924656794</c:v>
                </c:pt>
                <c:pt idx="76">
                  <c:v>215.24159550318885</c:v>
                </c:pt>
                <c:pt idx="77">
                  <c:v>218.07372175980976</c:v>
                </c:pt>
                <c:pt idx="78">
                  <c:v>220.90584801643064</c:v>
                </c:pt>
                <c:pt idx="79">
                  <c:v>223.73797427305158</c:v>
                </c:pt>
                <c:pt idx="80">
                  <c:v>226.57010052967249</c:v>
                </c:pt>
                <c:pt idx="81">
                  <c:v>229.40222678629337</c:v>
                </c:pt>
                <c:pt idx="82">
                  <c:v>232.23435304291428</c:v>
                </c:pt>
                <c:pt idx="83">
                  <c:v>235.06647929953516</c:v>
                </c:pt>
                <c:pt idx="84">
                  <c:v>237.89860555615607</c:v>
                </c:pt>
                <c:pt idx="85">
                  <c:v>240.73073181277698</c:v>
                </c:pt>
                <c:pt idx="86">
                  <c:v>243.56285806939789</c:v>
                </c:pt>
                <c:pt idx="87">
                  <c:v>246.3949843260188</c:v>
                </c:pt>
                <c:pt idx="88">
                  <c:v>249.22711058263968</c:v>
                </c:pt>
                <c:pt idx="89">
                  <c:v>252.05923683926062</c:v>
                </c:pt>
                <c:pt idx="90">
                  <c:v>254.89136309588153</c:v>
                </c:pt>
                <c:pt idx="91">
                  <c:v>257.72348935250244</c:v>
                </c:pt>
                <c:pt idx="92">
                  <c:v>260.55561560912332</c:v>
                </c:pt>
                <c:pt idx="93">
                  <c:v>263.38774186574426</c:v>
                </c:pt>
                <c:pt idx="94">
                  <c:v>266.21986812236509</c:v>
                </c:pt>
                <c:pt idx="95">
                  <c:v>269.05199437898602</c:v>
                </c:pt>
                <c:pt idx="96">
                  <c:v>271.88412063560691</c:v>
                </c:pt>
                <c:pt idx="97">
                  <c:v>274.71624689222784</c:v>
                </c:pt>
                <c:pt idx="98">
                  <c:v>277.54837314884878</c:v>
                </c:pt>
                <c:pt idx="99">
                  <c:v>280.38049940546961</c:v>
                </c:pt>
                <c:pt idx="100">
                  <c:v>283.21262566209055</c:v>
                </c:pt>
              </c:numCache>
            </c:numRef>
          </c:val>
          <c:smooth val="0"/>
          <c:extLst>
            <c:ext xmlns:c16="http://schemas.microsoft.com/office/drawing/2014/chart" uri="{C3380CC4-5D6E-409C-BE32-E72D297353CC}">
              <c16:uniqueId val="{00000001-27D2-4EDF-AE4A-82FE0BEF745D}"/>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Single'!$AN$216:$AN$316</c:f>
              <c:numCache>
                <c:formatCode>0.0</c:formatCode>
                <c:ptCount val="101"/>
                <c:pt idx="0">
                  <c:v>10</c:v>
                </c:pt>
                <c:pt idx="1">
                  <c:v>10</c:v>
                </c:pt>
                <c:pt idx="2">
                  <c:v>10</c:v>
                </c:pt>
                <c:pt idx="3">
                  <c:v>10</c:v>
                </c:pt>
                <c:pt idx="4">
                  <c:v>11.328505026483622</c:v>
                </c:pt>
                <c:pt idx="5">
                  <c:v>14.16063128310453</c:v>
                </c:pt>
                <c:pt idx="6">
                  <c:v>16.992757539725432</c:v>
                </c:pt>
                <c:pt idx="7">
                  <c:v>19.824883796346342</c:v>
                </c:pt>
                <c:pt idx="8">
                  <c:v>22.657010052967244</c:v>
                </c:pt>
                <c:pt idx="9">
                  <c:v>25.489136309588147</c:v>
                </c:pt>
                <c:pt idx="10">
                  <c:v>28.321262566209061</c:v>
                </c:pt>
                <c:pt idx="11">
                  <c:v>31.15338882282996</c:v>
                </c:pt>
                <c:pt idx="12">
                  <c:v>33.985515079450863</c:v>
                </c:pt>
                <c:pt idx="13">
                  <c:v>36.817641336071773</c:v>
                </c:pt>
                <c:pt idx="14">
                  <c:v>39.649767592692683</c:v>
                </c:pt>
                <c:pt idx="15">
                  <c:v>42.481893849313579</c:v>
                </c:pt>
                <c:pt idx="16">
                  <c:v>45.314020105934489</c:v>
                </c:pt>
                <c:pt idx="17">
                  <c:v>48.146146362555392</c:v>
                </c:pt>
                <c:pt idx="18">
                  <c:v>50.978272619176295</c:v>
                </c:pt>
                <c:pt idx="19">
                  <c:v>53.810398875797212</c:v>
                </c:pt>
                <c:pt idx="20">
                  <c:v>56.642525132418122</c:v>
                </c:pt>
                <c:pt idx="21">
                  <c:v>59.474651389039018</c:v>
                </c:pt>
                <c:pt idx="22">
                  <c:v>62.30677764565992</c:v>
                </c:pt>
                <c:pt idx="23">
                  <c:v>65.13890390228083</c:v>
                </c:pt>
                <c:pt idx="24">
                  <c:v>67.971030158901726</c:v>
                </c:pt>
                <c:pt idx="25">
                  <c:v>70.803156415522636</c:v>
                </c:pt>
                <c:pt idx="26">
                  <c:v>73.635282672143546</c:v>
                </c:pt>
                <c:pt idx="27">
                  <c:v>76.467408928764456</c:v>
                </c:pt>
                <c:pt idx="28">
                  <c:v>79.299535185385366</c:v>
                </c:pt>
                <c:pt idx="29">
                  <c:v>82.131661442006248</c:v>
                </c:pt>
                <c:pt idx="30">
                  <c:v>84.963787698627158</c:v>
                </c:pt>
                <c:pt idx="31">
                  <c:v>87.795913955248068</c:v>
                </c:pt>
                <c:pt idx="32">
                  <c:v>90.628040211868978</c:v>
                </c:pt>
                <c:pt idx="33">
                  <c:v>93.460166468489888</c:v>
                </c:pt>
                <c:pt idx="34">
                  <c:v>96.292292725110784</c:v>
                </c:pt>
                <c:pt idx="35">
                  <c:v>99.124418981731679</c:v>
                </c:pt>
                <c:pt idx="36">
                  <c:v>101.95654523835259</c:v>
                </c:pt>
                <c:pt idx="37">
                  <c:v>104.7886714949735</c:v>
                </c:pt>
                <c:pt idx="38">
                  <c:v>107.62079775159442</c:v>
                </c:pt>
                <c:pt idx="39">
                  <c:v>110.45292400821532</c:v>
                </c:pt>
                <c:pt idx="40">
                  <c:v>113.28505026483624</c:v>
                </c:pt>
                <c:pt idx="41">
                  <c:v>116.11717652145714</c:v>
                </c:pt>
                <c:pt idx="42">
                  <c:v>118.94930277807804</c:v>
                </c:pt>
                <c:pt idx="43">
                  <c:v>121.78142903469895</c:v>
                </c:pt>
                <c:pt idx="44">
                  <c:v>124.61355529131984</c:v>
                </c:pt>
                <c:pt idx="45">
                  <c:v>127.44568154794077</c:v>
                </c:pt>
                <c:pt idx="46">
                  <c:v>130.27780780456166</c:v>
                </c:pt>
                <c:pt idx="47">
                  <c:v>133.10993406118254</c:v>
                </c:pt>
                <c:pt idx="48">
                  <c:v>135.94206031780345</c:v>
                </c:pt>
                <c:pt idx="49">
                  <c:v>138.77418657442439</c:v>
                </c:pt>
                <c:pt idx="50">
                  <c:v>141.60631283104527</c:v>
                </c:pt>
                <c:pt idx="51">
                  <c:v>144.43843908766618</c:v>
                </c:pt>
                <c:pt idx="52">
                  <c:v>147.27056534428709</c:v>
                </c:pt>
                <c:pt idx="53">
                  <c:v>150.102691600908</c:v>
                </c:pt>
                <c:pt idx="54">
                  <c:v>152.93481785752891</c:v>
                </c:pt>
                <c:pt idx="55">
                  <c:v>155.76694411414982</c:v>
                </c:pt>
                <c:pt idx="56">
                  <c:v>158.59907037077073</c:v>
                </c:pt>
                <c:pt idx="57">
                  <c:v>161.43119662739159</c:v>
                </c:pt>
                <c:pt idx="58">
                  <c:v>164.2633228840125</c:v>
                </c:pt>
                <c:pt idx="59">
                  <c:v>167.09544914063341</c:v>
                </c:pt>
                <c:pt idx="60">
                  <c:v>169.92757539725432</c:v>
                </c:pt>
                <c:pt idx="61">
                  <c:v>172.75970165387523</c:v>
                </c:pt>
                <c:pt idx="62">
                  <c:v>175.59182791049614</c:v>
                </c:pt>
                <c:pt idx="63">
                  <c:v>178.42395416711705</c:v>
                </c:pt>
                <c:pt idx="64">
                  <c:v>181.25608042373796</c:v>
                </c:pt>
                <c:pt idx="65">
                  <c:v>184.08820668035887</c:v>
                </c:pt>
                <c:pt idx="66">
                  <c:v>186.92033293697978</c:v>
                </c:pt>
                <c:pt idx="67">
                  <c:v>189.75245919360066</c:v>
                </c:pt>
                <c:pt idx="68">
                  <c:v>192.58458545022157</c:v>
                </c:pt>
                <c:pt idx="69">
                  <c:v>195.41671170684245</c:v>
                </c:pt>
                <c:pt idx="70">
                  <c:v>198.24883796346336</c:v>
                </c:pt>
                <c:pt idx="71">
                  <c:v>201.08096422008427</c:v>
                </c:pt>
                <c:pt idx="72">
                  <c:v>203.91309047670518</c:v>
                </c:pt>
                <c:pt idx="73">
                  <c:v>206.74521673332609</c:v>
                </c:pt>
                <c:pt idx="74">
                  <c:v>209.577342989947</c:v>
                </c:pt>
                <c:pt idx="75">
                  <c:v>212.40946924656794</c:v>
                </c:pt>
                <c:pt idx="76">
                  <c:v>215.24159550318885</c:v>
                </c:pt>
                <c:pt idx="77">
                  <c:v>218.07372175980976</c:v>
                </c:pt>
                <c:pt idx="78">
                  <c:v>220.90584801643064</c:v>
                </c:pt>
                <c:pt idx="79">
                  <c:v>223.73797427305158</c:v>
                </c:pt>
                <c:pt idx="80">
                  <c:v>226.57010052967249</c:v>
                </c:pt>
                <c:pt idx="81">
                  <c:v>229.40222678629337</c:v>
                </c:pt>
                <c:pt idx="82">
                  <c:v>232.23435304291428</c:v>
                </c:pt>
                <c:pt idx="83">
                  <c:v>235.06647929953516</c:v>
                </c:pt>
                <c:pt idx="84">
                  <c:v>237.89860555615607</c:v>
                </c:pt>
                <c:pt idx="85">
                  <c:v>240.73073181277698</c:v>
                </c:pt>
                <c:pt idx="86">
                  <c:v>243.56285806939789</c:v>
                </c:pt>
                <c:pt idx="87">
                  <c:v>246.3949843260188</c:v>
                </c:pt>
                <c:pt idx="88">
                  <c:v>249.22711058263968</c:v>
                </c:pt>
                <c:pt idx="89">
                  <c:v>252.05923683926062</c:v>
                </c:pt>
                <c:pt idx="90">
                  <c:v>254.89136309588153</c:v>
                </c:pt>
                <c:pt idx="91">
                  <c:v>257.72348935250244</c:v>
                </c:pt>
                <c:pt idx="92">
                  <c:v>260.55561560912332</c:v>
                </c:pt>
                <c:pt idx="93">
                  <c:v>263.38774186574426</c:v>
                </c:pt>
                <c:pt idx="94">
                  <c:v>266.21986812236509</c:v>
                </c:pt>
                <c:pt idx="95">
                  <c:v>269.05199437898602</c:v>
                </c:pt>
                <c:pt idx="96">
                  <c:v>271.88412063560691</c:v>
                </c:pt>
                <c:pt idx="97">
                  <c:v>274.71624689222784</c:v>
                </c:pt>
                <c:pt idx="98">
                  <c:v>277.54837314884878</c:v>
                </c:pt>
                <c:pt idx="99">
                  <c:v>280.38049940546961</c:v>
                </c:pt>
                <c:pt idx="100">
                  <c:v>283.21262566209055</c:v>
                </c:pt>
              </c:numCache>
            </c:numRef>
          </c:val>
          <c:smooth val="0"/>
          <c:extLst>
            <c:ext xmlns:c16="http://schemas.microsoft.com/office/drawing/2014/chart" uri="{C3380CC4-5D6E-409C-BE32-E72D297353CC}">
              <c16:uniqueId val="{00000002-27D2-4EDF-AE4A-82FE0BEF745D}"/>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Single'!$CB$110:$CB$210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27D2-4EDF-AE4A-82FE0BEF745D}"/>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Single'!$CB$5:$CB$105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27D2-4EDF-AE4A-82FE0BEF745D}"/>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Single'!$CB$216:$CB$316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27D2-4EDF-AE4A-82FE0BEF745D}"/>
            </c:ext>
          </c:extLst>
        </c:ser>
        <c:dLbls>
          <c:showLegendKey val="0"/>
          <c:showVal val="0"/>
          <c:showCatName val="0"/>
          <c:showSerName val="0"/>
          <c:showPercent val="0"/>
          <c:showBubbleSize val="0"/>
        </c:dLbls>
        <c:marker val="1"/>
        <c:smooth val="0"/>
        <c:axId val="141715712"/>
        <c:axId val="141721984"/>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6.6458333333333335E-3</c:v>
                </c:pt>
                <c:pt idx="1">
                  <c:v>6.6458333333333335E-3</c:v>
                </c:pt>
                <c:pt idx="2">
                  <c:v>6.6458333333333335E-3</c:v>
                </c:pt>
                <c:pt idx="3">
                  <c:v>6.6458333333333335E-3</c:v>
                </c:pt>
                <c:pt idx="4">
                  <c:v>7.5287356321839067E-3</c:v>
                </c:pt>
                <c:pt idx="5">
                  <c:v>9.4109195402298871E-3</c:v>
                </c:pt>
                <c:pt idx="6">
                  <c:v>1.129310344827586E-2</c:v>
                </c:pt>
                <c:pt idx="7">
                  <c:v>1.3175287356321839E-2</c:v>
                </c:pt>
                <c:pt idx="8">
                  <c:v>1.5057471264367813E-2</c:v>
                </c:pt>
                <c:pt idx="9">
                  <c:v>1.6939655172413789E-2</c:v>
                </c:pt>
                <c:pt idx="10">
                  <c:v>1.8821839080459774E-2</c:v>
                </c:pt>
                <c:pt idx="11">
                  <c:v>2.0704022988505742E-2</c:v>
                </c:pt>
                <c:pt idx="12">
                  <c:v>2.2586206896551719E-2</c:v>
                </c:pt>
                <c:pt idx="13">
                  <c:v>2.4468390804597701E-2</c:v>
                </c:pt>
                <c:pt idx="14">
                  <c:v>2.6350574712643678E-2</c:v>
                </c:pt>
                <c:pt idx="15">
                  <c:v>2.8232758620689646E-2</c:v>
                </c:pt>
                <c:pt idx="16">
                  <c:v>3.0114942528735627E-2</c:v>
                </c:pt>
                <c:pt idx="17">
                  <c:v>3.1997126436781598E-2</c:v>
                </c:pt>
                <c:pt idx="18">
                  <c:v>3.3879310344827579E-2</c:v>
                </c:pt>
                <c:pt idx="19">
                  <c:v>3.5761494252873567E-2</c:v>
                </c:pt>
                <c:pt idx="20">
                  <c:v>3.7643678160919548E-2</c:v>
                </c:pt>
                <c:pt idx="21">
                  <c:v>3.9525862068965509E-2</c:v>
                </c:pt>
                <c:pt idx="22">
                  <c:v>4.1408045977011483E-2</c:v>
                </c:pt>
                <c:pt idx="23">
                  <c:v>4.3290229885057464E-2</c:v>
                </c:pt>
                <c:pt idx="24">
                  <c:v>4.5172413793103439E-2</c:v>
                </c:pt>
                <c:pt idx="25">
                  <c:v>4.7054597701149413E-2</c:v>
                </c:pt>
                <c:pt idx="26">
                  <c:v>4.8936781609195401E-2</c:v>
                </c:pt>
                <c:pt idx="27">
                  <c:v>5.0818965517241375E-2</c:v>
                </c:pt>
                <c:pt idx="28">
                  <c:v>5.2701149425287357E-2</c:v>
                </c:pt>
                <c:pt idx="29">
                  <c:v>5.4583333333333317E-2</c:v>
                </c:pt>
                <c:pt idx="30">
                  <c:v>5.6465517241379291E-2</c:v>
                </c:pt>
                <c:pt idx="31">
                  <c:v>5.8347701149425273E-2</c:v>
                </c:pt>
                <c:pt idx="32">
                  <c:v>6.0229885057471254E-2</c:v>
                </c:pt>
                <c:pt idx="33">
                  <c:v>6.2112068965517235E-2</c:v>
                </c:pt>
                <c:pt idx="34">
                  <c:v>6.3994252873563195E-2</c:v>
                </c:pt>
                <c:pt idx="35">
                  <c:v>6.5876436781609177E-2</c:v>
                </c:pt>
                <c:pt idx="36">
                  <c:v>6.7758620689655158E-2</c:v>
                </c:pt>
                <c:pt idx="37">
                  <c:v>6.9640804597701125E-2</c:v>
                </c:pt>
                <c:pt idx="38">
                  <c:v>7.1522988505747134E-2</c:v>
                </c:pt>
                <c:pt idx="39">
                  <c:v>7.3405172413793088E-2</c:v>
                </c:pt>
                <c:pt idx="40">
                  <c:v>7.5287356321839097E-2</c:v>
                </c:pt>
                <c:pt idx="41">
                  <c:v>7.7169540229885064E-2</c:v>
                </c:pt>
                <c:pt idx="42">
                  <c:v>7.9051724137931018E-2</c:v>
                </c:pt>
                <c:pt idx="43">
                  <c:v>8.0933908045977013E-2</c:v>
                </c:pt>
                <c:pt idx="44">
                  <c:v>8.2816091954022966E-2</c:v>
                </c:pt>
                <c:pt idx="45">
                  <c:v>8.4698275862068961E-2</c:v>
                </c:pt>
                <c:pt idx="46">
                  <c:v>8.6580459770114929E-2</c:v>
                </c:pt>
                <c:pt idx="47">
                  <c:v>8.8462643678160896E-2</c:v>
                </c:pt>
                <c:pt idx="48">
                  <c:v>9.0344827586206877E-2</c:v>
                </c:pt>
                <c:pt idx="49">
                  <c:v>9.2227011494252872E-2</c:v>
                </c:pt>
                <c:pt idx="50">
                  <c:v>9.4109195402298826E-2</c:v>
                </c:pt>
                <c:pt idx="51">
                  <c:v>9.5991379310344807E-2</c:v>
                </c:pt>
                <c:pt idx="52">
                  <c:v>9.7873563218390802E-2</c:v>
                </c:pt>
                <c:pt idx="53">
                  <c:v>9.975574712643677E-2</c:v>
                </c:pt>
                <c:pt idx="54">
                  <c:v>0.10163793103448275</c:v>
                </c:pt>
                <c:pt idx="55">
                  <c:v>0.10352011494252873</c:v>
                </c:pt>
                <c:pt idx="56">
                  <c:v>0.10540229885057471</c:v>
                </c:pt>
                <c:pt idx="57">
                  <c:v>0.10728448275862065</c:v>
                </c:pt>
                <c:pt idx="58">
                  <c:v>0.10916666666666663</c:v>
                </c:pt>
                <c:pt idx="59">
                  <c:v>0.11104885057471263</c:v>
                </c:pt>
                <c:pt idx="60">
                  <c:v>0.11293103448275858</c:v>
                </c:pt>
                <c:pt idx="61">
                  <c:v>0.11481321839080456</c:v>
                </c:pt>
                <c:pt idx="62">
                  <c:v>0.11669540229885055</c:v>
                </c:pt>
                <c:pt idx="63">
                  <c:v>0.11857758620689651</c:v>
                </c:pt>
                <c:pt idx="64">
                  <c:v>0.12045977011494251</c:v>
                </c:pt>
                <c:pt idx="65">
                  <c:v>0.12234195402298847</c:v>
                </c:pt>
                <c:pt idx="66">
                  <c:v>0.12422413793103447</c:v>
                </c:pt>
                <c:pt idx="67">
                  <c:v>0.12610632183908044</c:v>
                </c:pt>
                <c:pt idx="68">
                  <c:v>0.12798850574712639</c:v>
                </c:pt>
                <c:pt idx="69">
                  <c:v>0.12987068965517237</c:v>
                </c:pt>
                <c:pt idx="70">
                  <c:v>0.13175287356321835</c:v>
                </c:pt>
                <c:pt idx="71">
                  <c:v>0.13363505747126436</c:v>
                </c:pt>
                <c:pt idx="72">
                  <c:v>0.13551724137931032</c:v>
                </c:pt>
                <c:pt idx="73">
                  <c:v>0.1373994252873563</c:v>
                </c:pt>
                <c:pt idx="74">
                  <c:v>0.13928160919540225</c:v>
                </c:pt>
                <c:pt idx="75">
                  <c:v>0.14116379310344826</c:v>
                </c:pt>
                <c:pt idx="76">
                  <c:v>0.14304597701149427</c:v>
                </c:pt>
                <c:pt idx="77">
                  <c:v>0.14492816091954022</c:v>
                </c:pt>
                <c:pt idx="78">
                  <c:v>0.14681034482758618</c:v>
                </c:pt>
                <c:pt idx="79">
                  <c:v>0.14869252873563221</c:v>
                </c:pt>
                <c:pt idx="80">
                  <c:v>0.15057471264367819</c:v>
                </c:pt>
                <c:pt idx="81">
                  <c:v>0.15245689655172412</c:v>
                </c:pt>
                <c:pt idx="82">
                  <c:v>0.15433908045977013</c:v>
                </c:pt>
                <c:pt idx="83">
                  <c:v>0.15622126436781608</c:v>
                </c:pt>
                <c:pt idx="84">
                  <c:v>0.15810344827586204</c:v>
                </c:pt>
                <c:pt idx="85">
                  <c:v>0.15998563218390802</c:v>
                </c:pt>
                <c:pt idx="86">
                  <c:v>0.16186781609195403</c:v>
                </c:pt>
                <c:pt idx="87">
                  <c:v>0.16374999999999998</c:v>
                </c:pt>
                <c:pt idx="88">
                  <c:v>0.16563218390804593</c:v>
                </c:pt>
                <c:pt idx="89">
                  <c:v>0.16751436781609194</c:v>
                </c:pt>
                <c:pt idx="90">
                  <c:v>0.16939655172413792</c:v>
                </c:pt>
                <c:pt idx="91">
                  <c:v>0.1712787356321839</c:v>
                </c:pt>
                <c:pt idx="92">
                  <c:v>0.17316091954022986</c:v>
                </c:pt>
                <c:pt idx="93">
                  <c:v>0.17504310344827587</c:v>
                </c:pt>
                <c:pt idx="94">
                  <c:v>0.17692528735632179</c:v>
                </c:pt>
                <c:pt idx="95">
                  <c:v>0.1788074712643678</c:v>
                </c:pt>
                <c:pt idx="96">
                  <c:v>0.18068965517241375</c:v>
                </c:pt>
                <c:pt idx="97">
                  <c:v>0.18257183908045974</c:v>
                </c:pt>
                <c:pt idx="98">
                  <c:v>0.18445402298850574</c:v>
                </c:pt>
                <c:pt idx="99">
                  <c:v>0.18633620689655167</c:v>
                </c:pt>
                <c:pt idx="100">
                  <c:v>0.18821839080459765</c:v>
                </c:pt>
              </c:numCache>
            </c:numRef>
          </c:val>
          <c:smooth val="0"/>
          <c:extLst>
            <c:ext xmlns:c16="http://schemas.microsoft.com/office/drawing/2014/chart" uri="{C3380CC4-5D6E-409C-BE32-E72D297353CC}">
              <c16:uniqueId val="{00000006-27D2-4EDF-AE4A-82FE0BEF745D}"/>
            </c:ext>
          </c:extLst>
        </c:ser>
        <c:ser>
          <c:idx val="7"/>
          <c:order val="7"/>
          <c:spPr>
            <a:ln w="31750">
              <a:solidFill>
                <a:srgbClr val="00B050"/>
              </a:solidFill>
            </a:ln>
          </c:spPr>
          <c:marker>
            <c:symbol val="none"/>
          </c:marker>
          <c:val>
            <c:numRef>
              <c:f>'Calculations - Single'!$AW$110:$AW$210</c:f>
              <c:numCache>
                <c:formatCode>0.000</c:formatCode>
                <c:ptCount val="101"/>
                <c:pt idx="0">
                  <c:v>1.5949999999999999E-2</c:v>
                </c:pt>
                <c:pt idx="1">
                  <c:v>1.5949999999999999E-2</c:v>
                </c:pt>
                <c:pt idx="2">
                  <c:v>1.5949999999999999E-2</c:v>
                </c:pt>
                <c:pt idx="3">
                  <c:v>1.5949999999999999E-2</c:v>
                </c:pt>
                <c:pt idx="4">
                  <c:v>1.8068965517241374E-2</c:v>
                </c:pt>
                <c:pt idx="5">
                  <c:v>2.2586206896551726E-2</c:v>
                </c:pt>
                <c:pt idx="6">
                  <c:v>2.7103448275862061E-2</c:v>
                </c:pt>
                <c:pt idx="7">
                  <c:v>3.162068965517241E-2</c:v>
                </c:pt>
                <c:pt idx="8">
                  <c:v>3.6137931034482748E-2</c:v>
                </c:pt>
                <c:pt idx="9">
                  <c:v>4.0655172413793086E-2</c:v>
                </c:pt>
                <c:pt idx="10">
                  <c:v>4.5172413793103453E-2</c:v>
                </c:pt>
                <c:pt idx="11">
                  <c:v>4.9689655172413777E-2</c:v>
                </c:pt>
                <c:pt idx="12">
                  <c:v>5.4206896551724122E-2</c:v>
                </c:pt>
                <c:pt idx="13">
                  <c:v>5.8724137931034474E-2</c:v>
                </c:pt>
                <c:pt idx="14">
                  <c:v>6.324137931034482E-2</c:v>
                </c:pt>
                <c:pt idx="15">
                  <c:v>6.7758620689655144E-2</c:v>
                </c:pt>
                <c:pt idx="16">
                  <c:v>7.2275862068965496E-2</c:v>
                </c:pt>
                <c:pt idx="17">
                  <c:v>7.6793103448275835E-2</c:v>
                </c:pt>
                <c:pt idx="18">
                  <c:v>8.1310344827586173E-2</c:v>
                </c:pt>
                <c:pt idx="19">
                  <c:v>8.5827586206896539E-2</c:v>
                </c:pt>
                <c:pt idx="20">
                  <c:v>9.0344827586206905E-2</c:v>
                </c:pt>
                <c:pt idx="21">
                  <c:v>9.4862068965517216E-2</c:v>
                </c:pt>
                <c:pt idx="22">
                  <c:v>9.9379310344827554E-2</c:v>
                </c:pt>
                <c:pt idx="23">
                  <c:v>0.10389655172413791</c:v>
                </c:pt>
                <c:pt idx="24">
                  <c:v>0.10841379310344824</c:v>
                </c:pt>
                <c:pt idx="25">
                  <c:v>0.11293103448275858</c:v>
                </c:pt>
                <c:pt idx="26">
                  <c:v>0.11744827586206895</c:v>
                </c:pt>
                <c:pt idx="27">
                  <c:v>0.1219655172413793</c:v>
                </c:pt>
                <c:pt idx="28">
                  <c:v>0.12648275862068964</c:v>
                </c:pt>
                <c:pt idx="29">
                  <c:v>0.13099999999999995</c:v>
                </c:pt>
                <c:pt idx="30">
                  <c:v>0.13551724137931029</c:v>
                </c:pt>
                <c:pt idx="31">
                  <c:v>0.14003448275862063</c:v>
                </c:pt>
                <c:pt idx="32">
                  <c:v>0.14455172413793099</c:v>
                </c:pt>
                <c:pt idx="33">
                  <c:v>0.14906896551724133</c:v>
                </c:pt>
                <c:pt idx="34">
                  <c:v>0.15358620689655167</c:v>
                </c:pt>
                <c:pt idx="35">
                  <c:v>0.15810344827586201</c:v>
                </c:pt>
                <c:pt idx="36">
                  <c:v>0.16262068965517235</c:v>
                </c:pt>
                <c:pt idx="37">
                  <c:v>0.16713793103448268</c:v>
                </c:pt>
                <c:pt idx="38">
                  <c:v>0.17165517241379308</c:v>
                </c:pt>
                <c:pt idx="39">
                  <c:v>0.17617241379310342</c:v>
                </c:pt>
                <c:pt idx="40">
                  <c:v>0.18068965517241381</c:v>
                </c:pt>
                <c:pt idx="41">
                  <c:v>0.18520689655172412</c:v>
                </c:pt>
                <c:pt idx="42">
                  <c:v>0.18972413793103443</c:v>
                </c:pt>
                <c:pt idx="43">
                  <c:v>0.1942413793103448</c:v>
                </c:pt>
                <c:pt idx="44">
                  <c:v>0.19875862068965511</c:v>
                </c:pt>
                <c:pt idx="45">
                  <c:v>0.20327586206896547</c:v>
                </c:pt>
                <c:pt idx="46">
                  <c:v>0.20779310344827581</c:v>
                </c:pt>
                <c:pt idx="47">
                  <c:v>0.21231034482758615</c:v>
                </c:pt>
                <c:pt idx="48">
                  <c:v>0.21682758620689649</c:v>
                </c:pt>
                <c:pt idx="49">
                  <c:v>0.22134482758620685</c:v>
                </c:pt>
                <c:pt idx="50">
                  <c:v>0.22586206896551717</c:v>
                </c:pt>
                <c:pt idx="51">
                  <c:v>0.23037931034482753</c:v>
                </c:pt>
                <c:pt idx="52">
                  <c:v>0.2348965517241379</c:v>
                </c:pt>
                <c:pt idx="53">
                  <c:v>0.23941379310344824</c:v>
                </c:pt>
                <c:pt idx="54">
                  <c:v>0.2439310344827586</c:v>
                </c:pt>
                <c:pt idx="55">
                  <c:v>0.24844827586206891</c:v>
                </c:pt>
                <c:pt idx="56">
                  <c:v>0.25296551724137928</c:v>
                </c:pt>
                <c:pt idx="57">
                  <c:v>0.25748275862068953</c:v>
                </c:pt>
                <c:pt idx="58">
                  <c:v>0.2619999999999999</c:v>
                </c:pt>
                <c:pt idx="59">
                  <c:v>0.26651724137931027</c:v>
                </c:pt>
                <c:pt idx="60">
                  <c:v>0.27103448275862058</c:v>
                </c:pt>
                <c:pt idx="61">
                  <c:v>0.27555172413793094</c:v>
                </c:pt>
                <c:pt idx="62">
                  <c:v>0.28006896551724125</c:v>
                </c:pt>
                <c:pt idx="63">
                  <c:v>0.28458620689655162</c:v>
                </c:pt>
                <c:pt idx="64">
                  <c:v>0.28910344827586199</c:v>
                </c:pt>
                <c:pt idx="65">
                  <c:v>0.2936206896551723</c:v>
                </c:pt>
                <c:pt idx="66">
                  <c:v>0.29813793103448266</c:v>
                </c:pt>
                <c:pt idx="67">
                  <c:v>0.30265517241379297</c:v>
                </c:pt>
                <c:pt idx="68">
                  <c:v>0.30717241379310334</c:v>
                </c:pt>
                <c:pt idx="69">
                  <c:v>0.31168965517241365</c:v>
                </c:pt>
                <c:pt idx="70">
                  <c:v>0.31620689655172401</c:v>
                </c:pt>
                <c:pt idx="71">
                  <c:v>0.32072413793103438</c:v>
                </c:pt>
                <c:pt idx="72">
                  <c:v>0.32524137931034469</c:v>
                </c:pt>
                <c:pt idx="73">
                  <c:v>0.32975862068965511</c:v>
                </c:pt>
                <c:pt idx="74">
                  <c:v>0.33427586206896537</c:v>
                </c:pt>
                <c:pt idx="75">
                  <c:v>0.33879310344827579</c:v>
                </c:pt>
                <c:pt idx="76">
                  <c:v>0.34331034482758616</c:v>
                </c:pt>
                <c:pt idx="77">
                  <c:v>0.34782758620689652</c:v>
                </c:pt>
                <c:pt idx="78">
                  <c:v>0.35234482758620683</c:v>
                </c:pt>
                <c:pt idx="79">
                  <c:v>0.35686206896551725</c:v>
                </c:pt>
                <c:pt idx="80">
                  <c:v>0.36137931034482762</c:v>
                </c:pt>
                <c:pt idx="81">
                  <c:v>0.36589655172413782</c:v>
                </c:pt>
                <c:pt idx="82">
                  <c:v>0.37041379310344824</c:v>
                </c:pt>
                <c:pt idx="83">
                  <c:v>0.37493103448275855</c:v>
                </c:pt>
                <c:pt idx="84">
                  <c:v>0.37944827586206886</c:v>
                </c:pt>
                <c:pt idx="85">
                  <c:v>0.38396551724137917</c:v>
                </c:pt>
                <c:pt idx="86">
                  <c:v>0.38848275862068959</c:v>
                </c:pt>
                <c:pt idx="87">
                  <c:v>0.3929999999999999</c:v>
                </c:pt>
                <c:pt idx="88">
                  <c:v>0.39751724137931022</c:v>
                </c:pt>
                <c:pt idx="89">
                  <c:v>0.40203448275862058</c:v>
                </c:pt>
                <c:pt idx="90">
                  <c:v>0.40655172413793095</c:v>
                </c:pt>
                <c:pt idx="91">
                  <c:v>0.41106896551724131</c:v>
                </c:pt>
                <c:pt idx="92">
                  <c:v>0.41558620689655162</c:v>
                </c:pt>
                <c:pt idx="93">
                  <c:v>0.42010344827586199</c:v>
                </c:pt>
                <c:pt idx="94">
                  <c:v>0.4246206896551723</c:v>
                </c:pt>
                <c:pt idx="95">
                  <c:v>0.42913793103448267</c:v>
                </c:pt>
                <c:pt idx="96">
                  <c:v>0.43365517241379298</c:v>
                </c:pt>
                <c:pt idx="97">
                  <c:v>0.43817241379310334</c:v>
                </c:pt>
                <c:pt idx="98">
                  <c:v>0.44268965517241371</c:v>
                </c:pt>
                <c:pt idx="99">
                  <c:v>0.44720689655172396</c:v>
                </c:pt>
                <c:pt idx="100">
                  <c:v>0.45172413793103433</c:v>
                </c:pt>
              </c:numCache>
            </c:numRef>
          </c:val>
          <c:smooth val="0"/>
          <c:extLst>
            <c:ext xmlns:c16="http://schemas.microsoft.com/office/drawing/2014/chart" uri="{C3380CC4-5D6E-409C-BE32-E72D297353CC}">
              <c16:uniqueId val="{00000007-27D2-4EDF-AE4A-82FE0BEF745D}"/>
            </c:ext>
          </c:extLst>
        </c:ser>
        <c:ser>
          <c:idx val="8"/>
          <c:order val="8"/>
          <c:spPr>
            <a:ln w="31750">
              <a:solidFill>
                <a:srgbClr val="0000FF"/>
              </a:solidFill>
            </a:ln>
          </c:spPr>
          <c:marker>
            <c:symbol val="none"/>
          </c:marker>
          <c:val>
            <c:numRef>
              <c:f>'Calculations - Single'!$AW$216:$AW$316</c:f>
              <c:numCache>
                <c:formatCode>0.000</c:formatCode>
                <c:ptCount val="101"/>
                <c:pt idx="0">
                  <c:v>3.1900000000000001E-3</c:v>
                </c:pt>
                <c:pt idx="1">
                  <c:v>3.1900000000000001E-3</c:v>
                </c:pt>
                <c:pt idx="2">
                  <c:v>3.1900000000000001E-3</c:v>
                </c:pt>
                <c:pt idx="3">
                  <c:v>3.1900000000000001E-3</c:v>
                </c:pt>
                <c:pt idx="4">
                  <c:v>3.6137931034482752E-3</c:v>
                </c:pt>
                <c:pt idx="5">
                  <c:v>4.5172413793103461E-3</c:v>
                </c:pt>
                <c:pt idx="6">
                  <c:v>5.4206896551724131E-3</c:v>
                </c:pt>
                <c:pt idx="7">
                  <c:v>6.3241379310344827E-3</c:v>
                </c:pt>
                <c:pt idx="8">
                  <c:v>7.2275862068965505E-3</c:v>
                </c:pt>
                <c:pt idx="9">
                  <c:v>8.1310344827586183E-3</c:v>
                </c:pt>
                <c:pt idx="10">
                  <c:v>9.0344827586206922E-3</c:v>
                </c:pt>
                <c:pt idx="11">
                  <c:v>9.9379310344827557E-3</c:v>
                </c:pt>
                <c:pt idx="12">
                  <c:v>1.0841379310344826E-2</c:v>
                </c:pt>
                <c:pt idx="13">
                  <c:v>1.1744827586206897E-2</c:v>
                </c:pt>
                <c:pt idx="14">
                  <c:v>1.2648275862068965E-2</c:v>
                </c:pt>
                <c:pt idx="15">
                  <c:v>1.3551724137931032E-2</c:v>
                </c:pt>
                <c:pt idx="16">
                  <c:v>1.4455172413793101E-2</c:v>
                </c:pt>
                <c:pt idx="17">
                  <c:v>1.535862068965517E-2</c:v>
                </c:pt>
                <c:pt idx="18">
                  <c:v>1.6262068965517237E-2</c:v>
                </c:pt>
                <c:pt idx="19">
                  <c:v>1.7165517241379311E-2</c:v>
                </c:pt>
                <c:pt idx="20">
                  <c:v>1.8068965517241384E-2</c:v>
                </c:pt>
                <c:pt idx="21">
                  <c:v>1.8972413793103445E-2</c:v>
                </c:pt>
                <c:pt idx="22">
                  <c:v>1.9875862068965511E-2</c:v>
                </c:pt>
                <c:pt idx="23">
                  <c:v>2.0779310344827585E-2</c:v>
                </c:pt>
                <c:pt idx="24">
                  <c:v>2.1682758620689652E-2</c:v>
                </c:pt>
                <c:pt idx="25">
                  <c:v>2.2586206896551719E-2</c:v>
                </c:pt>
                <c:pt idx="26">
                  <c:v>2.3489655172413793E-2</c:v>
                </c:pt>
                <c:pt idx="27">
                  <c:v>2.4393103448275864E-2</c:v>
                </c:pt>
                <c:pt idx="28">
                  <c:v>2.5296551724137931E-2</c:v>
                </c:pt>
                <c:pt idx="29">
                  <c:v>2.6199999999999994E-2</c:v>
                </c:pt>
                <c:pt idx="30">
                  <c:v>2.7103448275862065E-2</c:v>
                </c:pt>
                <c:pt idx="31">
                  <c:v>2.8006896551724132E-2</c:v>
                </c:pt>
                <c:pt idx="32">
                  <c:v>2.8910344827586202E-2</c:v>
                </c:pt>
                <c:pt idx="33">
                  <c:v>2.9813793103448272E-2</c:v>
                </c:pt>
                <c:pt idx="34">
                  <c:v>3.0717241379310339E-2</c:v>
                </c:pt>
                <c:pt idx="35">
                  <c:v>3.1620689655172403E-2</c:v>
                </c:pt>
                <c:pt idx="36">
                  <c:v>3.2524137931034473E-2</c:v>
                </c:pt>
                <c:pt idx="37">
                  <c:v>3.3427586206896544E-2</c:v>
                </c:pt>
                <c:pt idx="38">
                  <c:v>3.4331034482758621E-2</c:v>
                </c:pt>
                <c:pt idx="39">
                  <c:v>3.5234482758620685E-2</c:v>
                </c:pt>
                <c:pt idx="40">
                  <c:v>3.6137931034482769E-2</c:v>
                </c:pt>
                <c:pt idx="41">
                  <c:v>3.7041379310344832E-2</c:v>
                </c:pt>
                <c:pt idx="42">
                  <c:v>3.7944827586206889E-2</c:v>
                </c:pt>
                <c:pt idx="43">
                  <c:v>3.8848275862068966E-2</c:v>
                </c:pt>
                <c:pt idx="44">
                  <c:v>3.9751724137931023E-2</c:v>
                </c:pt>
                <c:pt idx="45">
                  <c:v>4.06551724137931E-2</c:v>
                </c:pt>
                <c:pt idx="46">
                  <c:v>4.1558620689655171E-2</c:v>
                </c:pt>
                <c:pt idx="47">
                  <c:v>4.2462068965517234E-2</c:v>
                </c:pt>
                <c:pt idx="48">
                  <c:v>4.3365517241379305E-2</c:v>
                </c:pt>
                <c:pt idx="49">
                  <c:v>4.4268965517241375E-2</c:v>
                </c:pt>
                <c:pt idx="50">
                  <c:v>4.5172413793103439E-2</c:v>
                </c:pt>
                <c:pt idx="51">
                  <c:v>4.6075862068965509E-2</c:v>
                </c:pt>
                <c:pt idx="52">
                  <c:v>4.6979310344827586E-2</c:v>
                </c:pt>
                <c:pt idx="53">
                  <c:v>4.7882758620689657E-2</c:v>
                </c:pt>
                <c:pt idx="54">
                  <c:v>4.8786206896551727E-2</c:v>
                </c:pt>
                <c:pt idx="55">
                  <c:v>4.9689655172413791E-2</c:v>
                </c:pt>
                <c:pt idx="56">
                  <c:v>5.0593103448275861E-2</c:v>
                </c:pt>
                <c:pt idx="57">
                  <c:v>5.1496551724137918E-2</c:v>
                </c:pt>
                <c:pt idx="58">
                  <c:v>5.2399999999999988E-2</c:v>
                </c:pt>
                <c:pt idx="59">
                  <c:v>5.3303448275862066E-2</c:v>
                </c:pt>
                <c:pt idx="60">
                  <c:v>5.4206896551724129E-2</c:v>
                </c:pt>
                <c:pt idx="61">
                  <c:v>5.51103448275862E-2</c:v>
                </c:pt>
                <c:pt idx="62">
                  <c:v>5.6013793103448263E-2</c:v>
                </c:pt>
                <c:pt idx="63">
                  <c:v>5.6917241379310334E-2</c:v>
                </c:pt>
                <c:pt idx="64">
                  <c:v>5.7820689655172404E-2</c:v>
                </c:pt>
                <c:pt idx="65">
                  <c:v>5.8724137931034474E-2</c:v>
                </c:pt>
                <c:pt idx="66">
                  <c:v>5.9627586206896545E-2</c:v>
                </c:pt>
                <c:pt idx="67">
                  <c:v>6.0531034482758608E-2</c:v>
                </c:pt>
                <c:pt idx="68">
                  <c:v>6.1434482758620679E-2</c:v>
                </c:pt>
                <c:pt idx="69">
                  <c:v>6.2337931034482742E-2</c:v>
                </c:pt>
                <c:pt idx="70">
                  <c:v>6.3241379310344806E-2</c:v>
                </c:pt>
                <c:pt idx="71">
                  <c:v>6.414482758620689E-2</c:v>
                </c:pt>
                <c:pt idx="72">
                  <c:v>6.5048275862068947E-2</c:v>
                </c:pt>
                <c:pt idx="73">
                  <c:v>6.5951724137931031E-2</c:v>
                </c:pt>
                <c:pt idx="74">
                  <c:v>6.6855172413793088E-2</c:v>
                </c:pt>
                <c:pt idx="75">
                  <c:v>6.7758620689655172E-2</c:v>
                </c:pt>
                <c:pt idx="76">
                  <c:v>6.8662068965517242E-2</c:v>
                </c:pt>
                <c:pt idx="77">
                  <c:v>6.9565517241379313E-2</c:v>
                </c:pt>
                <c:pt idx="78">
                  <c:v>7.0468965517241369E-2</c:v>
                </c:pt>
                <c:pt idx="79">
                  <c:v>7.1372413793103467E-2</c:v>
                </c:pt>
                <c:pt idx="80">
                  <c:v>7.2275862068965538E-2</c:v>
                </c:pt>
                <c:pt idx="81">
                  <c:v>7.3179310344827581E-2</c:v>
                </c:pt>
                <c:pt idx="82">
                  <c:v>7.4082758620689665E-2</c:v>
                </c:pt>
                <c:pt idx="83">
                  <c:v>7.4986206896551721E-2</c:v>
                </c:pt>
                <c:pt idx="84">
                  <c:v>7.5889655172413778E-2</c:v>
                </c:pt>
                <c:pt idx="85">
                  <c:v>7.6793103448275848E-2</c:v>
                </c:pt>
                <c:pt idx="86">
                  <c:v>7.7696551724137933E-2</c:v>
                </c:pt>
                <c:pt idx="87">
                  <c:v>7.8599999999999989E-2</c:v>
                </c:pt>
                <c:pt idx="88">
                  <c:v>7.9503448275862046E-2</c:v>
                </c:pt>
                <c:pt idx="89">
                  <c:v>8.040689655172413E-2</c:v>
                </c:pt>
                <c:pt idx="90">
                  <c:v>8.1310344827586201E-2</c:v>
                </c:pt>
                <c:pt idx="91">
                  <c:v>8.2213793103448285E-2</c:v>
                </c:pt>
                <c:pt idx="92">
                  <c:v>8.3117241379310342E-2</c:v>
                </c:pt>
                <c:pt idx="93">
                  <c:v>8.4020689655172412E-2</c:v>
                </c:pt>
                <c:pt idx="94">
                  <c:v>8.4924137931034469E-2</c:v>
                </c:pt>
                <c:pt idx="95">
                  <c:v>8.5827586206896553E-2</c:v>
                </c:pt>
                <c:pt idx="96">
                  <c:v>8.6731034482758609E-2</c:v>
                </c:pt>
                <c:pt idx="97">
                  <c:v>8.763448275862068E-2</c:v>
                </c:pt>
                <c:pt idx="98">
                  <c:v>8.853793103448275E-2</c:v>
                </c:pt>
                <c:pt idx="99">
                  <c:v>8.9441379310344807E-2</c:v>
                </c:pt>
                <c:pt idx="100">
                  <c:v>9.0344827586206877E-2</c:v>
                </c:pt>
              </c:numCache>
            </c:numRef>
          </c:val>
          <c:smooth val="0"/>
          <c:extLst>
            <c:ext xmlns:c16="http://schemas.microsoft.com/office/drawing/2014/chart" uri="{C3380CC4-5D6E-409C-BE32-E72D297353CC}">
              <c16:uniqueId val="{00000008-27D2-4EDF-AE4A-82FE0BEF745D}"/>
            </c:ext>
          </c:extLst>
        </c:ser>
        <c:dLbls>
          <c:showLegendKey val="0"/>
          <c:showVal val="0"/>
          <c:showCatName val="0"/>
          <c:showSerName val="0"/>
          <c:showPercent val="0"/>
          <c:showBubbleSize val="0"/>
        </c:dLbls>
        <c:marker val="1"/>
        <c:smooth val="0"/>
        <c:axId val="141734272"/>
        <c:axId val="141723904"/>
      </c:lineChart>
      <c:catAx>
        <c:axId val="141715712"/>
        <c:scaling>
          <c:orientation val="minMax"/>
        </c:scaling>
        <c:delete val="0"/>
        <c:axPos val="b"/>
        <c:majorGridlines>
          <c:spPr>
            <a:ln w="15875">
              <a:solidFill>
                <a:srgbClr val="969696"/>
              </a:solidFill>
              <a:prstDash val="sysDash"/>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cs-CZ"/>
          </a:p>
        </c:txPr>
        <c:crossAx val="141721984"/>
        <c:crosses val="autoZero"/>
        <c:auto val="1"/>
        <c:lblAlgn val="ctr"/>
        <c:lblOffset val="100"/>
        <c:tickLblSkip val="20"/>
        <c:tickMarkSkip val="10"/>
        <c:noMultiLvlLbl val="0"/>
      </c:catAx>
      <c:valAx>
        <c:axId val="141721984"/>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cs-CZ"/>
          </a:p>
        </c:txPr>
        <c:crossAx val="141715712"/>
        <c:crossesAt val="0"/>
        <c:crossBetween val="between"/>
        <c:majorUnit val="50"/>
        <c:minorUnit val="25"/>
      </c:valAx>
      <c:valAx>
        <c:axId val="141723904"/>
        <c:scaling>
          <c:orientation val="minMax"/>
          <c:min val="0"/>
        </c:scaling>
        <c:delete val="0"/>
        <c:axPos val="r"/>
        <c:title>
          <c:tx>
            <c:rich>
              <a:bodyPr rot="-5400000" vert="horz"/>
              <a:lstStyle/>
              <a:p>
                <a:pPr>
                  <a:defRPr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sz="1200" b="1"/>
            </a:pPr>
            <a:endParaRPr lang="cs-CZ"/>
          </a:p>
        </c:txPr>
        <c:crossAx val="141734272"/>
        <c:crosses val="max"/>
        <c:crossBetween val="between"/>
        <c:majorUnit val="0.1"/>
        <c:minorUnit val="2.0000000000000004E-2"/>
      </c:valAx>
      <c:catAx>
        <c:axId val="141734272"/>
        <c:scaling>
          <c:orientation val="minMax"/>
        </c:scaling>
        <c:delete val="1"/>
        <c:axPos val="b"/>
        <c:majorTickMark val="out"/>
        <c:minorTickMark val="none"/>
        <c:tickLblPos val="nextTo"/>
        <c:crossAx val="141723904"/>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cs-CZ"/>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cs-CZ"/>
    </a:p>
  </c:txPr>
  <c:printSettings>
    <c:headerFooter alignWithMargins="0"/>
    <c:pageMargins b="1" l="0.750000000000006" r="0.750000000000006" t="1" header="0.5" footer="0.5"/>
    <c:pageSetup paperSize="5"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c:v>
                </c:pt>
                <c:pt idx="2">
                  <c:v>19.150568020960407</c:v>
                </c:pt>
                <c:pt idx="3">
                  <c:v>28.725852031440606</c:v>
                </c:pt>
                <c:pt idx="4">
                  <c:v>38.301136041920813</c:v>
                </c:pt>
                <c:pt idx="5">
                  <c:v>47.876420052401031</c:v>
                </c:pt>
                <c:pt idx="6">
                  <c:v>57.451704062881213</c:v>
                </c:pt>
                <c:pt idx="7">
                  <c:v>67.026988073361437</c:v>
                </c:pt>
                <c:pt idx="8">
                  <c:v>76.602272083841626</c:v>
                </c:pt>
                <c:pt idx="9">
                  <c:v>86.17755609432183</c:v>
                </c:pt>
                <c:pt idx="10">
                  <c:v>95.752840104802061</c:v>
                </c:pt>
                <c:pt idx="11">
                  <c:v>105.32812411528224</c:v>
                </c:pt>
                <c:pt idx="12">
                  <c:v>114.90340812576243</c:v>
                </c:pt>
                <c:pt idx="13">
                  <c:v>124.47869213624266</c:v>
                </c:pt>
                <c:pt idx="14">
                  <c:v>134.05397614672287</c:v>
                </c:pt>
                <c:pt idx="15">
                  <c:v>143.62926015720305</c:v>
                </c:pt>
                <c:pt idx="16">
                  <c:v>153.20454416768325</c:v>
                </c:pt>
                <c:pt idx="17">
                  <c:v>162.77982817816346</c:v>
                </c:pt>
                <c:pt idx="18">
                  <c:v>172.35511218864366</c:v>
                </c:pt>
                <c:pt idx="19">
                  <c:v>181.93039619912389</c:v>
                </c:pt>
                <c:pt idx="20">
                  <c:v>191.50568020960412</c:v>
                </c:pt>
                <c:pt idx="21">
                  <c:v>201.08096422008427</c:v>
                </c:pt>
                <c:pt idx="22">
                  <c:v>210.65624823056447</c:v>
                </c:pt>
                <c:pt idx="23">
                  <c:v>220.23153224104468</c:v>
                </c:pt>
                <c:pt idx="24">
                  <c:v>229.80681625152485</c:v>
                </c:pt>
                <c:pt idx="25">
                  <c:v>239.38210026200508</c:v>
                </c:pt>
                <c:pt idx="26">
                  <c:v>248.95738427248531</c:v>
                </c:pt>
                <c:pt idx="27">
                  <c:v>258.53266828296552</c:v>
                </c:pt>
                <c:pt idx="28">
                  <c:v>268.10795229344575</c:v>
                </c:pt>
                <c:pt idx="29">
                  <c:v>277.68323630392587</c:v>
                </c:pt>
                <c:pt idx="30">
                  <c:v>287.2585203144061</c:v>
                </c:pt>
                <c:pt idx="31">
                  <c:v>296.83380432488633</c:v>
                </c:pt>
                <c:pt idx="32">
                  <c:v>306.4090883353665</c:v>
                </c:pt>
                <c:pt idx="33">
                  <c:v>315.98437234584674</c:v>
                </c:pt>
                <c:pt idx="34">
                  <c:v>325.55965635632691</c:v>
                </c:pt>
                <c:pt idx="35">
                  <c:v>335.13494036680709</c:v>
                </c:pt>
                <c:pt idx="36">
                  <c:v>344.71022437728732</c:v>
                </c:pt>
                <c:pt idx="37">
                  <c:v>333.87748105808538</c:v>
                </c:pt>
                <c:pt idx="38">
                  <c:v>325.09123155655669</c:v>
                </c:pt>
                <c:pt idx="39">
                  <c:v>316.75555895254246</c:v>
                </c:pt>
                <c:pt idx="40">
                  <c:v>308.83666997872893</c:v>
                </c:pt>
                <c:pt idx="41">
                  <c:v>301.30406827193076</c:v>
                </c:pt>
                <c:pt idx="42">
                  <c:v>294.13016188450371</c:v>
                </c:pt>
                <c:pt idx="43">
                  <c:v>287.28992556160824</c:v>
                </c:pt>
                <c:pt idx="44">
                  <c:v>280.76060907157182</c:v>
                </c:pt>
                <c:pt idx="45">
                  <c:v>274.52148442553681</c:v>
                </c:pt>
                <c:pt idx="46">
                  <c:v>268.55362606845989</c:v>
                </c:pt>
                <c:pt idx="47">
                  <c:v>262.83971913083315</c:v>
                </c:pt>
                <c:pt idx="48">
                  <c:v>257.36389164894081</c:v>
                </c:pt>
                <c:pt idx="49">
                  <c:v>252.11156732957463</c:v>
                </c:pt>
                <c:pt idx="50">
                  <c:v>247.06933598298315</c:v>
                </c:pt>
                <c:pt idx="51">
                  <c:v>242.22483919900304</c:v>
                </c:pt>
                <c:pt idx="52">
                  <c:v>237.5666692144068</c:v>
                </c:pt>
                <c:pt idx="53">
                  <c:v>233.08427922922937</c:v>
                </c:pt>
                <c:pt idx="54">
                  <c:v>228.76790368794732</c:v>
                </c:pt>
                <c:pt idx="55">
                  <c:v>224.60848725725737</c:v>
                </c:pt>
                <c:pt idx="56">
                  <c:v>220.59762141337779</c:v>
                </c:pt>
                <c:pt idx="57">
                  <c:v>216.72748770437119</c:v>
                </c:pt>
                <c:pt idx="58">
                  <c:v>212.99080688188207</c:v>
                </c:pt>
                <c:pt idx="59">
                  <c:v>209.38079320591794</c:v>
                </c:pt>
                <c:pt idx="60">
                  <c:v>205.89111331915265</c:v>
                </c:pt>
                <c:pt idx="61">
                  <c:v>202.51584916637964</c:v>
                </c:pt>
                <c:pt idx="62">
                  <c:v>199.2494645024058</c:v>
                </c:pt>
                <c:pt idx="63">
                  <c:v>196.08677458966918</c:v>
                </c:pt>
                <c:pt idx="64">
                  <c:v>193.02291873670561</c:v>
                </c:pt>
                <c:pt idx="65">
                  <c:v>190.05333537152549</c:v>
                </c:pt>
                <c:pt idx="66">
                  <c:v>187.17373938104785</c:v>
                </c:pt>
                <c:pt idx="67">
                  <c:v>184.38010147983815</c:v>
                </c:pt>
                <c:pt idx="68">
                  <c:v>181.66862939925232</c:v>
                </c:pt>
                <c:pt idx="69">
                  <c:v>179.03575071230668</c:v>
                </c:pt>
                <c:pt idx="70">
                  <c:v>176.47809713070228</c:v>
                </c:pt>
                <c:pt idx="71">
                  <c:v>173.99249012886139</c:v>
                </c:pt>
                <c:pt idx="72">
                  <c:v>171.57592776596056</c:v>
                </c:pt>
                <c:pt idx="73">
                  <c:v>169.22557259108433</c:v>
                </c:pt>
                <c:pt idx="74">
                  <c:v>166.93874052904269</c:v>
                </c:pt>
                <c:pt idx="75">
                  <c:v>164.71289065532207</c:v>
                </c:pt>
                <c:pt idx="76">
                  <c:v>162.54561577827835</c:v>
                </c:pt>
                <c:pt idx="77">
                  <c:v>160.43463375518382</c:v>
                </c:pt>
                <c:pt idx="78">
                  <c:v>158.37777947627123</c:v>
                </c:pt>
                <c:pt idx="79">
                  <c:v>156.37299745758423</c:v>
                </c:pt>
                <c:pt idx="80">
                  <c:v>154.41833498936447</c:v>
                </c:pt>
                <c:pt idx="81">
                  <c:v>152.5119357919649</c:v>
                </c:pt>
                <c:pt idx="82">
                  <c:v>150.65203413596538</c:v>
                </c:pt>
                <c:pt idx="83">
                  <c:v>148.83694938733925</c:v>
                </c:pt>
                <c:pt idx="84">
                  <c:v>147.06508094225185</c:v>
                </c:pt>
                <c:pt idx="85">
                  <c:v>145.33490351940182</c:v>
                </c:pt>
                <c:pt idx="86">
                  <c:v>143.64496278080412</c:v>
                </c:pt>
                <c:pt idx="87">
                  <c:v>141.99387125458799</c:v>
                </c:pt>
                <c:pt idx="88">
                  <c:v>140.38030453578591</c:v>
                </c:pt>
                <c:pt idx="89">
                  <c:v>138.80299774324894</c:v>
                </c:pt>
                <c:pt idx="90">
                  <c:v>137.26074221276841</c:v>
                </c:pt>
                <c:pt idx="91">
                  <c:v>135.75238240823248</c:v>
                </c:pt>
                <c:pt idx="92">
                  <c:v>134.27681303422995</c:v>
                </c:pt>
                <c:pt idx="93">
                  <c:v>132.83297633493711</c:v>
                </c:pt>
                <c:pt idx="94">
                  <c:v>131.41985956541657</c:v>
                </c:pt>
                <c:pt idx="95">
                  <c:v>130.03649262262269</c:v>
                </c:pt>
                <c:pt idx="96">
                  <c:v>128.6819458244704</c:v>
                </c:pt>
                <c:pt idx="97">
                  <c:v>127.35532782627995</c:v>
                </c:pt>
                <c:pt idx="98">
                  <c:v>126.05578366478731</c:v>
                </c:pt>
                <c:pt idx="99">
                  <c:v>124.78249292069852</c:v>
                </c:pt>
                <c:pt idx="100">
                  <c:v>123.53466799149157</c:v>
                </c:pt>
              </c:numCache>
            </c:numRef>
          </c:val>
          <c:smooth val="0"/>
          <c:extLst>
            <c:ext xmlns:c16="http://schemas.microsoft.com/office/drawing/2014/chart" uri="{C3380CC4-5D6E-409C-BE32-E72D297353CC}">
              <c16:uniqueId val="{00000000-4DAF-4D3D-8786-009B15CAA356}"/>
            </c:ext>
          </c:extLst>
        </c:ser>
        <c:ser>
          <c:idx val="10"/>
          <c:order val="7"/>
          <c:tx>
            <c:v>VIN-nom</c:v>
          </c:tx>
          <c:spPr>
            <a:ln w="28575">
              <a:solidFill>
                <a:srgbClr val="0000FF"/>
              </a:solidFill>
              <a:prstDash val="lgDash"/>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c:v>
                </c:pt>
                <c:pt idx="2">
                  <c:v>19.150568020960407</c:v>
                </c:pt>
                <c:pt idx="3">
                  <c:v>28.725852031440606</c:v>
                </c:pt>
                <c:pt idx="4">
                  <c:v>38.301136041920813</c:v>
                </c:pt>
                <c:pt idx="5">
                  <c:v>47.876420052401031</c:v>
                </c:pt>
                <c:pt idx="6">
                  <c:v>57.451704062881213</c:v>
                </c:pt>
                <c:pt idx="7">
                  <c:v>67.026988073361437</c:v>
                </c:pt>
                <c:pt idx="8">
                  <c:v>76.602272083841626</c:v>
                </c:pt>
                <c:pt idx="9">
                  <c:v>86.17755609432183</c:v>
                </c:pt>
                <c:pt idx="10">
                  <c:v>95.752840104802061</c:v>
                </c:pt>
                <c:pt idx="11">
                  <c:v>105.32812411528224</c:v>
                </c:pt>
                <c:pt idx="12">
                  <c:v>114.90340812576243</c:v>
                </c:pt>
                <c:pt idx="13">
                  <c:v>124.47869213624266</c:v>
                </c:pt>
                <c:pt idx="14">
                  <c:v>134.05397614672287</c:v>
                </c:pt>
                <c:pt idx="15">
                  <c:v>143.62926015720305</c:v>
                </c:pt>
                <c:pt idx="16">
                  <c:v>153.20454416768325</c:v>
                </c:pt>
                <c:pt idx="17">
                  <c:v>162.77982817816346</c:v>
                </c:pt>
                <c:pt idx="18">
                  <c:v>172.35511218864366</c:v>
                </c:pt>
                <c:pt idx="19">
                  <c:v>181.93039619912389</c:v>
                </c:pt>
                <c:pt idx="20">
                  <c:v>191.50568020960412</c:v>
                </c:pt>
                <c:pt idx="21">
                  <c:v>201.08096422008427</c:v>
                </c:pt>
                <c:pt idx="22">
                  <c:v>210.65624823056447</c:v>
                </c:pt>
                <c:pt idx="23">
                  <c:v>220.23153224104468</c:v>
                </c:pt>
                <c:pt idx="24">
                  <c:v>229.80681625152485</c:v>
                </c:pt>
                <c:pt idx="25">
                  <c:v>239.38210026200508</c:v>
                </c:pt>
                <c:pt idx="26">
                  <c:v>248.95738427248531</c:v>
                </c:pt>
                <c:pt idx="27">
                  <c:v>258.53266828296552</c:v>
                </c:pt>
                <c:pt idx="28">
                  <c:v>268.10795229344575</c:v>
                </c:pt>
                <c:pt idx="29">
                  <c:v>277.68323630392587</c:v>
                </c:pt>
                <c:pt idx="30">
                  <c:v>287.2585203144061</c:v>
                </c:pt>
                <c:pt idx="31">
                  <c:v>296.83380432488633</c:v>
                </c:pt>
                <c:pt idx="32">
                  <c:v>306.4090883353665</c:v>
                </c:pt>
                <c:pt idx="33">
                  <c:v>315.98437234584674</c:v>
                </c:pt>
                <c:pt idx="34">
                  <c:v>325.55965635632691</c:v>
                </c:pt>
                <c:pt idx="35">
                  <c:v>335.13494036680709</c:v>
                </c:pt>
                <c:pt idx="36">
                  <c:v>344.71022437728732</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349.18886392749778</c:v>
                </c:pt>
                <c:pt idx="80">
                  <c:v>344.824003128404</c:v>
                </c:pt>
                <c:pt idx="81">
                  <c:v>340.56691667002877</c:v>
                </c:pt>
                <c:pt idx="82">
                  <c:v>336.41366158868698</c:v>
                </c:pt>
                <c:pt idx="83">
                  <c:v>332.36048494304003</c:v>
                </c:pt>
                <c:pt idx="84">
                  <c:v>328.40381250324197</c:v>
                </c:pt>
                <c:pt idx="85">
                  <c:v>324.54023823849792</c:v>
                </c:pt>
                <c:pt idx="86">
                  <c:v>320.76651453805027</c:v>
                </c:pt>
                <c:pt idx="87">
                  <c:v>317.07954310657857</c:v>
                </c:pt>
                <c:pt idx="88">
                  <c:v>313.4763664803674</c:v>
                </c:pt>
                <c:pt idx="89">
                  <c:v>309.95416011541937</c:v>
                </c:pt>
                <c:pt idx="90">
                  <c:v>306.51022500302582</c:v>
                </c:pt>
                <c:pt idx="91">
                  <c:v>303.14198077222329</c:v>
                </c:pt>
                <c:pt idx="92">
                  <c:v>299.84695924209046</c:v>
                </c:pt>
                <c:pt idx="93">
                  <c:v>296.62279839002503</c:v>
                </c:pt>
                <c:pt idx="94">
                  <c:v>293.46723670502479</c:v>
                </c:pt>
                <c:pt idx="95">
                  <c:v>290.37810789760346</c:v>
                </c:pt>
                <c:pt idx="96">
                  <c:v>287.35333594033676</c:v>
                </c:pt>
                <c:pt idx="97">
                  <c:v>284.39093041517867</c:v>
                </c:pt>
                <c:pt idx="98">
                  <c:v>281.48898214563599</c:v>
                </c:pt>
                <c:pt idx="99">
                  <c:v>278.64565909365984</c:v>
                </c:pt>
                <c:pt idx="100">
                  <c:v>275.85920250272329</c:v>
                </c:pt>
              </c:numCache>
            </c:numRef>
          </c:val>
          <c:smooth val="0"/>
          <c:extLst>
            <c:ext xmlns:c16="http://schemas.microsoft.com/office/drawing/2014/chart" uri="{C3380CC4-5D6E-409C-BE32-E72D297353CC}">
              <c16:uniqueId val="{00000001-4DAF-4D3D-8786-009B15CAA356}"/>
            </c:ext>
          </c:extLst>
        </c:ser>
        <c:ser>
          <c:idx val="11"/>
          <c:order val="8"/>
          <c:tx>
            <c:v>VIN-max</c:v>
          </c:tx>
          <c:spPr>
            <a:ln>
              <a:solidFill>
                <a:srgbClr val="FF0000"/>
              </a:solidFill>
              <a:prstDash val="solid"/>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c:v>
                </c:pt>
                <c:pt idx="2">
                  <c:v>19.150568020960407</c:v>
                </c:pt>
                <c:pt idx="3">
                  <c:v>28.725852031440606</c:v>
                </c:pt>
                <c:pt idx="4">
                  <c:v>38.301136041920813</c:v>
                </c:pt>
                <c:pt idx="5">
                  <c:v>47.876420052401031</c:v>
                </c:pt>
                <c:pt idx="6">
                  <c:v>57.451704062881213</c:v>
                </c:pt>
                <c:pt idx="7">
                  <c:v>67.026988073361437</c:v>
                </c:pt>
                <c:pt idx="8">
                  <c:v>76.602272083841626</c:v>
                </c:pt>
                <c:pt idx="9">
                  <c:v>86.17755609432183</c:v>
                </c:pt>
                <c:pt idx="10">
                  <c:v>95.752840104802061</c:v>
                </c:pt>
                <c:pt idx="11">
                  <c:v>105.32812411528224</c:v>
                </c:pt>
                <c:pt idx="12">
                  <c:v>114.90340812576243</c:v>
                </c:pt>
                <c:pt idx="13">
                  <c:v>124.47869213624266</c:v>
                </c:pt>
                <c:pt idx="14">
                  <c:v>134.05397614672287</c:v>
                </c:pt>
                <c:pt idx="15">
                  <c:v>143.62926015720305</c:v>
                </c:pt>
                <c:pt idx="16">
                  <c:v>153.20454416768325</c:v>
                </c:pt>
                <c:pt idx="17">
                  <c:v>162.77982817816346</c:v>
                </c:pt>
                <c:pt idx="18">
                  <c:v>172.35511218864366</c:v>
                </c:pt>
                <c:pt idx="19">
                  <c:v>181.93039619912389</c:v>
                </c:pt>
                <c:pt idx="20">
                  <c:v>191.50568020960412</c:v>
                </c:pt>
                <c:pt idx="21">
                  <c:v>201.08096422008427</c:v>
                </c:pt>
                <c:pt idx="22">
                  <c:v>210.65624823056447</c:v>
                </c:pt>
                <c:pt idx="23">
                  <c:v>220.23153224104468</c:v>
                </c:pt>
                <c:pt idx="24">
                  <c:v>229.80681625152485</c:v>
                </c:pt>
                <c:pt idx="25">
                  <c:v>239.38210026200508</c:v>
                </c:pt>
                <c:pt idx="26">
                  <c:v>248.95738427248531</c:v>
                </c:pt>
                <c:pt idx="27">
                  <c:v>258.53266828296552</c:v>
                </c:pt>
                <c:pt idx="28">
                  <c:v>268.10795229344575</c:v>
                </c:pt>
                <c:pt idx="29">
                  <c:v>277.68323630392587</c:v>
                </c:pt>
                <c:pt idx="30">
                  <c:v>287.2585203144061</c:v>
                </c:pt>
                <c:pt idx="31">
                  <c:v>296.83380432488633</c:v>
                </c:pt>
                <c:pt idx="32">
                  <c:v>306.4090883353665</c:v>
                </c:pt>
                <c:pt idx="33">
                  <c:v>315.98437234584674</c:v>
                </c:pt>
                <c:pt idx="34">
                  <c:v>325.55965635632691</c:v>
                </c:pt>
                <c:pt idx="35">
                  <c:v>335.13494036680709</c:v>
                </c:pt>
                <c:pt idx="36">
                  <c:v>344.71022437728732</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4DAF-4D3D-8786-009B15CAA356}"/>
            </c:ext>
          </c:extLst>
        </c:ser>
        <c:ser>
          <c:idx val="12"/>
          <c:order val="9"/>
          <c:spPr>
            <a:ln>
              <a:noFill/>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Dual'!$CB$110:$CB$210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4DAF-4D3D-8786-009B15CAA356}"/>
            </c:ext>
          </c:extLst>
        </c:ser>
        <c:ser>
          <c:idx val="13"/>
          <c:order val="10"/>
          <c:spPr>
            <a:ln>
              <a:noFill/>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4DAF-4D3D-8786-009B15CAA356}"/>
            </c:ext>
          </c:extLst>
        </c:ser>
        <c:ser>
          <c:idx val="14"/>
          <c:order val="11"/>
          <c:spPr>
            <a:ln>
              <a:noFill/>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Dual'!$CB$216:$CB$316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4DAF-4D3D-8786-009B15CAA356}"/>
            </c:ext>
          </c:extLst>
        </c:ser>
        <c:ser>
          <c:idx val="1"/>
          <c:order val="0"/>
          <c:tx>
            <c:v>VIN-min</c:v>
          </c:tx>
          <c:spPr>
            <a:ln>
              <a:solidFill>
                <a:srgbClr val="00B050"/>
              </a:solidFill>
              <a:prstDash val="sysDash"/>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c:v>
                </c:pt>
                <c:pt idx="2">
                  <c:v>19.150568020960407</c:v>
                </c:pt>
                <c:pt idx="3">
                  <c:v>28.725852031440606</c:v>
                </c:pt>
                <c:pt idx="4">
                  <c:v>38.301136041920813</c:v>
                </c:pt>
                <c:pt idx="5">
                  <c:v>47.876420052401031</c:v>
                </c:pt>
                <c:pt idx="6">
                  <c:v>57.451704062881213</c:v>
                </c:pt>
                <c:pt idx="7">
                  <c:v>67.026988073361437</c:v>
                </c:pt>
                <c:pt idx="8">
                  <c:v>76.602272083841626</c:v>
                </c:pt>
                <c:pt idx="9">
                  <c:v>86.17755609432183</c:v>
                </c:pt>
                <c:pt idx="10">
                  <c:v>95.752840104802061</c:v>
                </c:pt>
                <c:pt idx="11">
                  <c:v>105.32812411528224</c:v>
                </c:pt>
                <c:pt idx="12">
                  <c:v>114.90340812576243</c:v>
                </c:pt>
                <c:pt idx="13">
                  <c:v>124.47869213624266</c:v>
                </c:pt>
                <c:pt idx="14">
                  <c:v>134.05397614672287</c:v>
                </c:pt>
                <c:pt idx="15">
                  <c:v>143.62926015720305</c:v>
                </c:pt>
                <c:pt idx="16">
                  <c:v>153.20454416768325</c:v>
                </c:pt>
                <c:pt idx="17">
                  <c:v>162.77982817816346</c:v>
                </c:pt>
                <c:pt idx="18">
                  <c:v>172.35511218864366</c:v>
                </c:pt>
                <c:pt idx="19">
                  <c:v>181.93039619912389</c:v>
                </c:pt>
                <c:pt idx="20">
                  <c:v>191.50568020960412</c:v>
                </c:pt>
                <c:pt idx="21">
                  <c:v>201.08096422008427</c:v>
                </c:pt>
                <c:pt idx="22">
                  <c:v>210.65624823056447</c:v>
                </c:pt>
                <c:pt idx="23">
                  <c:v>220.23153224104468</c:v>
                </c:pt>
                <c:pt idx="24">
                  <c:v>229.80681625152485</c:v>
                </c:pt>
                <c:pt idx="25">
                  <c:v>239.38210026200508</c:v>
                </c:pt>
                <c:pt idx="26">
                  <c:v>248.95738427248531</c:v>
                </c:pt>
                <c:pt idx="27">
                  <c:v>258.53266828296552</c:v>
                </c:pt>
                <c:pt idx="28">
                  <c:v>268.10795229344575</c:v>
                </c:pt>
                <c:pt idx="29">
                  <c:v>277.68323630392587</c:v>
                </c:pt>
                <c:pt idx="30">
                  <c:v>287.2585203144061</c:v>
                </c:pt>
                <c:pt idx="31">
                  <c:v>296.83380432488633</c:v>
                </c:pt>
                <c:pt idx="32">
                  <c:v>306.4090883353665</c:v>
                </c:pt>
                <c:pt idx="33">
                  <c:v>315.98437234584674</c:v>
                </c:pt>
                <c:pt idx="34">
                  <c:v>325.55965635632691</c:v>
                </c:pt>
                <c:pt idx="35">
                  <c:v>335.13494036680709</c:v>
                </c:pt>
                <c:pt idx="36">
                  <c:v>344.71022437728732</c:v>
                </c:pt>
                <c:pt idx="37">
                  <c:v>333.87748105808538</c:v>
                </c:pt>
                <c:pt idx="38">
                  <c:v>325.09123155655669</c:v>
                </c:pt>
                <c:pt idx="39">
                  <c:v>316.75555895254246</c:v>
                </c:pt>
                <c:pt idx="40">
                  <c:v>308.83666997872893</c:v>
                </c:pt>
                <c:pt idx="41">
                  <c:v>301.30406827193076</c:v>
                </c:pt>
                <c:pt idx="42">
                  <c:v>294.13016188450371</c:v>
                </c:pt>
                <c:pt idx="43">
                  <c:v>287.28992556160824</c:v>
                </c:pt>
                <c:pt idx="44">
                  <c:v>280.76060907157182</c:v>
                </c:pt>
                <c:pt idx="45">
                  <c:v>274.52148442553681</c:v>
                </c:pt>
                <c:pt idx="46">
                  <c:v>268.55362606845989</c:v>
                </c:pt>
                <c:pt idx="47">
                  <c:v>262.83971913083315</c:v>
                </c:pt>
                <c:pt idx="48">
                  <c:v>257.36389164894081</c:v>
                </c:pt>
                <c:pt idx="49">
                  <c:v>252.11156732957463</c:v>
                </c:pt>
                <c:pt idx="50">
                  <c:v>247.06933598298315</c:v>
                </c:pt>
                <c:pt idx="51">
                  <c:v>242.22483919900304</c:v>
                </c:pt>
                <c:pt idx="52">
                  <c:v>237.5666692144068</c:v>
                </c:pt>
                <c:pt idx="53">
                  <c:v>233.08427922922937</c:v>
                </c:pt>
                <c:pt idx="54">
                  <c:v>228.76790368794732</c:v>
                </c:pt>
                <c:pt idx="55">
                  <c:v>224.60848725725737</c:v>
                </c:pt>
                <c:pt idx="56">
                  <c:v>220.59762141337779</c:v>
                </c:pt>
                <c:pt idx="57">
                  <c:v>216.72748770437119</c:v>
                </c:pt>
                <c:pt idx="58">
                  <c:v>212.99080688188207</c:v>
                </c:pt>
                <c:pt idx="59">
                  <c:v>209.38079320591794</c:v>
                </c:pt>
                <c:pt idx="60">
                  <c:v>205.89111331915265</c:v>
                </c:pt>
                <c:pt idx="61">
                  <c:v>202.51584916637964</c:v>
                </c:pt>
                <c:pt idx="62">
                  <c:v>199.2494645024058</c:v>
                </c:pt>
                <c:pt idx="63">
                  <c:v>196.08677458966918</c:v>
                </c:pt>
                <c:pt idx="64">
                  <c:v>193.02291873670561</c:v>
                </c:pt>
                <c:pt idx="65">
                  <c:v>190.05333537152549</c:v>
                </c:pt>
                <c:pt idx="66">
                  <c:v>187.17373938104785</c:v>
                </c:pt>
                <c:pt idx="67">
                  <c:v>184.38010147983815</c:v>
                </c:pt>
                <c:pt idx="68">
                  <c:v>181.66862939925232</c:v>
                </c:pt>
                <c:pt idx="69">
                  <c:v>179.03575071230668</c:v>
                </c:pt>
                <c:pt idx="70">
                  <c:v>176.47809713070228</c:v>
                </c:pt>
                <c:pt idx="71">
                  <c:v>173.99249012886139</c:v>
                </c:pt>
                <c:pt idx="72">
                  <c:v>171.57592776596056</c:v>
                </c:pt>
                <c:pt idx="73">
                  <c:v>169.22557259108433</c:v>
                </c:pt>
                <c:pt idx="74">
                  <c:v>166.93874052904269</c:v>
                </c:pt>
                <c:pt idx="75">
                  <c:v>164.71289065532207</c:v>
                </c:pt>
                <c:pt idx="76">
                  <c:v>162.54561577827835</c:v>
                </c:pt>
                <c:pt idx="77">
                  <c:v>160.43463375518382</c:v>
                </c:pt>
                <c:pt idx="78">
                  <c:v>158.37777947627123</c:v>
                </c:pt>
                <c:pt idx="79">
                  <c:v>156.37299745758423</c:v>
                </c:pt>
                <c:pt idx="80">
                  <c:v>154.41833498936447</c:v>
                </c:pt>
                <c:pt idx="81">
                  <c:v>152.5119357919649</c:v>
                </c:pt>
                <c:pt idx="82">
                  <c:v>150.65203413596538</c:v>
                </c:pt>
                <c:pt idx="83">
                  <c:v>148.83694938733925</c:v>
                </c:pt>
                <c:pt idx="84">
                  <c:v>147.06508094225185</c:v>
                </c:pt>
                <c:pt idx="85">
                  <c:v>145.33490351940182</c:v>
                </c:pt>
                <c:pt idx="86">
                  <c:v>143.64496278080412</c:v>
                </c:pt>
                <c:pt idx="87">
                  <c:v>141.99387125458799</c:v>
                </c:pt>
                <c:pt idx="88">
                  <c:v>140.38030453578591</c:v>
                </c:pt>
                <c:pt idx="89">
                  <c:v>138.80299774324894</c:v>
                </c:pt>
                <c:pt idx="90">
                  <c:v>137.26074221276841</c:v>
                </c:pt>
                <c:pt idx="91">
                  <c:v>135.75238240823248</c:v>
                </c:pt>
                <c:pt idx="92">
                  <c:v>134.27681303422995</c:v>
                </c:pt>
                <c:pt idx="93">
                  <c:v>132.83297633493711</c:v>
                </c:pt>
                <c:pt idx="94">
                  <c:v>131.41985956541657</c:v>
                </c:pt>
                <c:pt idx="95">
                  <c:v>130.03649262262269</c:v>
                </c:pt>
                <c:pt idx="96">
                  <c:v>128.6819458244704</c:v>
                </c:pt>
                <c:pt idx="97">
                  <c:v>127.35532782627995</c:v>
                </c:pt>
                <c:pt idx="98">
                  <c:v>126.05578366478731</c:v>
                </c:pt>
                <c:pt idx="99">
                  <c:v>124.78249292069852</c:v>
                </c:pt>
                <c:pt idx="100">
                  <c:v>123.53466799149157</c:v>
                </c:pt>
              </c:numCache>
            </c:numRef>
          </c:val>
          <c:smooth val="0"/>
          <c:extLst>
            <c:ext xmlns:c16="http://schemas.microsoft.com/office/drawing/2014/chart" uri="{C3380CC4-5D6E-409C-BE32-E72D297353CC}">
              <c16:uniqueId val="{00000006-4DAF-4D3D-8786-009B15CAA356}"/>
            </c:ext>
          </c:extLst>
        </c:ser>
        <c:ser>
          <c:idx val="0"/>
          <c:order val="1"/>
          <c:tx>
            <c:v>VIN-nom</c:v>
          </c:tx>
          <c:spPr>
            <a:ln w="28575">
              <a:solidFill>
                <a:srgbClr val="0000FF"/>
              </a:solidFill>
              <a:prstDash val="lgDash"/>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c:v>
                </c:pt>
                <c:pt idx="2">
                  <c:v>19.150568020960407</c:v>
                </c:pt>
                <c:pt idx="3">
                  <c:v>28.725852031440606</c:v>
                </c:pt>
                <c:pt idx="4">
                  <c:v>38.301136041920813</c:v>
                </c:pt>
                <c:pt idx="5">
                  <c:v>47.876420052401031</c:v>
                </c:pt>
                <c:pt idx="6">
                  <c:v>57.451704062881213</c:v>
                </c:pt>
                <c:pt idx="7">
                  <c:v>67.026988073361437</c:v>
                </c:pt>
                <c:pt idx="8">
                  <c:v>76.602272083841626</c:v>
                </c:pt>
                <c:pt idx="9">
                  <c:v>86.17755609432183</c:v>
                </c:pt>
                <c:pt idx="10">
                  <c:v>95.752840104802061</c:v>
                </c:pt>
                <c:pt idx="11">
                  <c:v>105.32812411528224</c:v>
                </c:pt>
                <c:pt idx="12">
                  <c:v>114.90340812576243</c:v>
                </c:pt>
                <c:pt idx="13">
                  <c:v>124.47869213624266</c:v>
                </c:pt>
                <c:pt idx="14">
                  <c:v>134.05397614672287</c:v>
                </c:pt>
                <c:pt idx="15">
                  <c:v>143.62926015720305</c:v>
                </c:pt>
                <c:pt idx="16">
                  <c:v>153.20454416768325</c:v>
                </c:pt>
                <c:pt idx="17">
                  <c:v>162.77982817816346</c:v>
                </c:pt>
                <c:pt idx="18">
                  <c:v>172.35511218864366</c:v>
                </c:pt>
                <c:pt idx="19">
                  <c:v>181.93039619912389</c:v>
                </c:pt>
                <c:pt idx="20">
                  <c:v>191.50568020960412</c:v>
                </c:pt>
                <c:pt idx="21">
                  <c:v>201.08096422008427</c:v>
                </c:pt>
                <c:pt idx="22">
                  <c:v>210.65624823056447</c:v>
                </c:pt>
                <c:pt idx="23">
                  <c:v>220.23153224104468</c:v>
                </c:pt>
                <c:pt idx="24">
                  <c:v>229.80681625152485</c:v>
                </c:pt>
                <c:pt idx="25">
                  <c:v>239.38210026200508</c:v>
                </c:pt>
                <c:pt idx="26">
                  <c:v>248.95738427248531</c:v>
                </c:pt>
                <c:pt idx="27">
                  <c:v>258.53266828296552</c:v>
                </c:pt>
                <c:pt idx="28">
                  <c:v>268.10795229344575</c:v>
                </c:pt>
                <c:pt idx="29">
                  <c:v>277.68323630392587</c:v>
                </c:pt>
                <c:pt idx="30">
                  <c:v>287.2585203144061</c:v>
                </c:pt>
                <c:pt idx="31">
                  <c:v>296.83380432488633</c:v>
                </c:pt>
                <c:pt idx="32">
                  <c:v>306.4090883353665</c:v>
                </c:pt>
                <c:pt idx="33">
                  <c:v>315.98437234584674</c:v>
                </c:pt>
                <c:pt idx="34">
                  <c:v>325.55965635632691</c:v>
                </c:pt>
                <c:pt idx="35">
                  <c:v>335.13494036680709</c:v>
                </c:pt>
                <c:pt idx="36">
                  <c:v>344.71022437728732</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349.18886392749778</c:v>
                </c:pt>
                <c:pt idx="80">
                  <c:v>344.824003128404</c:v>
                </c:pt>
                <c:pt idx="81">
                  <c:v>340.56691667002877</c:v>
                </c:pt>
                <c:pt idx="82">
                  <c:v>336.41366158868698</c:v>
                </c:pt>
                <c:pt idx="83">
                  <c:v>332.36048494304003</c:v>
                </c:pt>
                <c:pt idx="84">
                  <c:v>328.40381250324197</c:v>
                </c:pt>
                <c:pt idx="85">
                  <c:v>324.54023823849792</c:v>
                </c:pt>
                <c:pt idx="86">
                  <c:v>320.76651453805027</c:v>
                </c:pt>
                <c:pt idx="87">
                  <c:v>317.07954310657857</c:v>
                </c:pt>
                <c:pt idx="88">
                  <c:v>313.4763664803674</c:v>
                </c:pt>
                <c:pt idx="89">
                  <c:v>309.95416011541937</c:v>
                </c:pt>
                <c:pt idx="90">
                  <c:v>306.51022500302582</c:v>
                </c:pt>
                <c:pt idx="91">
                  <c:v>303.14198077222329</c:v>
                </c:pt>
                <c:pt idx="92">
                  <c:v>299.84695924209046</c:v>
                </c:pt>
                <c:pt idx="93">
                  <c:v>296.62279839002503</c:v>
                </c:pt>
                <c:pt idx="94">
                  <c:v>293.46723670502479</c:v>
                </c:pt>
                <c:pt idx="95">
                  <c:v>290.37810789760346</c:v>
                </c:pt>
                <c:pt idx="96">
                  <c:v>287.35333594033676</c:v>
                </c:pt>
                <c:pt idx="97">
                  <c:v>284.39093041517867</c:v>
                </c:pt>
                <c:pt idx="98">
                  <c:v>281.48898214563599</c:v>
                </c:pt>
                <c:pt idx="99">
                  <c:v>278.64565909365984</c:v>
                </c:pt>
                <c:pt idx="100">
                  <c:v>275.85920250272329</c:v>
                </c:pt>
              </c:numCache>
            </c:numRef>
          </c:val>
          <c:smooth val="0"/>
          <c:extLst>
            <c:ext xmlns:c16="http://schemas.microsoft.com/office/drawing/2014/chart" uri="{C3380CC4-5D6E-409C-BE32-E72D297353CC}">
              <c16:uniqueId val="{00000007-4DAF-4D3D-8786-009B15CAA356}"/>
            </c:ext>
          </c:extLst>
        </c:ser>
        <c:ser>
          <c:idx val="2"/>
          <c:order val="2"/>
          <c:tx>
            <c:v>VIN-max</c:v>
          </c:tx>
          <c:spPr>
            <a:ln>
              <a:solidFill>
                <a:srgbClr val="FF0000"/>
              </a:solidFill>
              <a:prstDash val="solid"/>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c:v>
                </c:pt>
                <c:pt idx="2">
                  <c:v>19.150568020960407</c:v>
                </c:pt>
                <c:pt idx="3">
                  <c:v>28.725852031440606</c:v>
                </c:pt>
                <c:pt idx="4">
                  <c:v>38.301136041920813</c:v>
                </c:pt>
                <c:pt idx="5">
                  <c:v>47.876420052401031</c:v>
                </c:pt>
                <c:pt idx="6">
                  <c:v>57.451704062881213</c:v>
                </c:pt>
                <c:pt idx="7">
                  <c:v>67.026988073361437</c:v>
                </c:pt>
                <c:pt idx="8">
                  <c:v>76.602272083841626</c:v>
                </c:pt>
                <c:pt idx="9">
                  <c:v>86.17755609432183</c:v>
                </c:pt>
                <c:pt idx="10">
                  <c:v>95.752840104802061</c:v>
                </c:pt>
                <c:pt idx="11">
                  <c:v>105.32812411528224</c:v>
                </c:pt>
                <c:pt idx="12">
                  <c:v>114.90340812576243</c:v>
                </c:pt>
                <c:pt idx="13">
                  <c:v>124.47869213624266</c:v>
                </c:pt>
                <c:pt idx="14">
                  <c:v>134.05397614672287</c:v>
                </c:pt>
                <c:pt idx="15">
                  <c:v>143.62926015720305</c:v>
                </c:pt>
                <c:pt idx="16">
                  <c:v>153.20454416768325</c:v>
                </c:pt>
                <c:pt idx="17">
                  <c:v>162.77982817816346</c:v>
                </c:pt>
                <c:pt idx="18">
                  <c:v>172.35511218864366</c:v>
                </c:pt>
                <c:pt idx="19">
                  <c:v>181.93039619912389</c:v>
                </c:pt>
                <c:pt idx="20">
                  <c:v>191.50568020960412</c:v>
                </c:pt>
                <c:pt idx="21">
                  <c:v>201.08096422008427</c:v>
                </c:pt>
                <c:pt idx="22">
                  <c:v>210.65624823056447</c:v>
                </c:pt>
                <c:pt idx="23">
                  <c:v>220.23153224104468</c:v>
                </c:pt>
                <c:pt idx="24">
                  <c:v>229.80681625152485</c:v>
                </c:pt>
                <c:pt idx="25">
                  <c:v>239.38210026200508</c:v>
                </c:pt>
                <c:pt idx="26">
                  <c:v>248.95738427248531</c:v>
                </c:pt>
                <c:pt idx="27">
                  <c:v>258.53266828296552</c:v>
                </c:pt>
                <c:pt idx="28">
                  <c:v>268.10795229344575</c:v>
                </c:pt>
                <c:pt idx="29">
                  <c:v>277.68323630392587</c:v>
                </c:pt>
                <c:pt idx="30">
                  <c:v>287.2585203144061</c:v>
                </c:pt>
                <c:pt idx="31">
                  <c:v>296.83380432488633</c:v>
                </c:pt>
                <c:pt idx="32">
                  <c:v>306.4090883353665</c:v>
                </c:pt>
                <c:pt idx="33">
                  <c:v>315.98437234584674</c:v>
                </c:pt>
                <c:pt idx="34">
                  <c:v>325.55965635632691</c:v>
                </c:pt>
                <c:pt idx="35">
                  <c:v>335.13494036680709</c:v>
                </c:pt>
                <c:pt idx="36">
                  <c:v>344.71022437728732</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8-4DAF-4D3D-8786-009B15CAA356}"/>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Dual'!$CB$110:$CB$210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4DAF-4D3D-8786-009B15CAA356}"/>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4DAF-4D3D-8786-009B15CAA356}"/>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Dual'!$CB$216:$CB$316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4DAF-4D3D-8786-009B15CAA356}"/>
            </c:ext>
          </c:extLst>
        </c:ser>
        <c:dLbls>
          <c:showLegendKey val="0"/>
          <c:showVal val="0"/>
          <c:showCatName val="0"/>
          <c:showSerName val="0"/>
          <c:showPercent val="0"/>
          <c:showBubbleSize val="0"/>
        </c:dLbls>
        <c:smooth val="0"/>
        <c:axId val="143515648"/>
        <c:axId val="143517952"/>
      </c:lineChart>
      <c:catAx>
        <c:axId val="143515648"/>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cs-CZ"/>
          </a:p>
        </c:txPr>
        <c:crossAx val="143517952"/>
        <c:crosses val="autoZero"/>
        <c:auto val="1"/>
        <c:lblAlgn val="ctr"/>
        <c:lblOffset val="100"/>
        <c:tickLblSkip val="20"/>
        <c:tickMarkSkip val="10"/>
        <c:noMultiLvlLbl val="0"/>
      </c:catAx>
      <c:valAx>
        <c:axId val="143517952"/>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cs-CZ"/>
          </a:p>
        </c:txPr>
        <c:crossAx val="1435156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cs-CZ"/>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cs-CZ"/>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10</c:v>
                </c:pt>
                <c:pt idx="1">
                  <c:v>10.4</c:v>
                </c:pt>
                <c:pt idx="2">
                  <c:v>10.8</c:v>
                </c:pt>
                <c:pt idx="3">
                  <c:v>11.2</c:v>
                </c:pt>
                <c:pt idx="4">
                  <c:v>11.6</c:v>
                </c:pt>
                <c:pt idx="5">
                  <c:v>12</c:v>
                </c:pt>
                <c:pt idx="6">
                  <c:v>12.4</c:v>
                </c:pt>
                <c:pt idx="7">
                  <c:v>12.8</c:v>
                </c:pt>
                <c:pt idx="8">
                  <c:v>13.2</c:v>
                </c:pt>
                <c:pt idx="9">
                  <c:v>13.6</c:v>
                </c:pt>
                <c:pt idx="10">
                  <c:v>14</c:v>
                </c:pt>
                <c:pt idx="11">
                  <c:v>14.4</c:v>
                </c:pt>
                <c:pt idx="12">
                  <c:v>14.8</c:v>
                </c:pt>
                <c:pt idx="13">
                  <c:v>15.2</c:v>
                </c:pt>
                <c:pt idx="14">
                  <c:v>15.600000000000001</c:v>
                </c:pt>
                <c:pt idx="15">
                  <c:v>16</c:v>
                </c:pt>
                <c:pt idx="16">
                  <c:v>16.399999999999999</c:v>
                </c:pt>
                <c:pt idx="17">
                  <c:v>16.8</c:v>
                </c:pt>
                <c:pt idx="18">
                  <c:v>17.2</c:v>
                </c:pt>
                <c:pt idx="19">
                  <c:v>17.600000000000001</c:v>
                </c:pt>
                <c:pt idx="20">
                  <c:v>18</c:v>
                </c:pt>
                <c:pt idx="21">
                  <c:v>18.399999999999999</c:v>
                </c:pt>
                <c:pt idx="22">
                  <c:v>18.8</c:v>
                </c:pt>
                <c:pt idx="23">
                  <c:v>19.200000000000003</c:v>
                </c:pt>
                <c:pt idx="24">
                  <c:v>19.600000000000001</c:v>
                </c:pt>
                <c:pt idx="25">
                  <c:v>20</c:v>
                </c:pt>
                <c:pt idx="26">
                  <c:v>20.399999999999999</c:v>
                </c:pt>
                <c:pt idx="27">
                  <c:v>20.8</c:v>
                </c:pt>
                <c:pt idx="28">
                  <c:v>21.200000000000003</c:v>
                </c:pt>
                <c:pt idx="29">
                  <c:v>21.6</c:v>
                </c:pt>
                <c:pt idx="30">
                  <c:v>22</c:v>
                </c:pt>
                <c:pt idx="31">
                  <c:v>22.4</c:v>
                </c:pt>
                <c:pt idx="32">
                  <c:v>22.8</c:v>
                </c:pt>
                <c:pt idx="33">
                  <c:v>23.200000000000003</c:v>
                </c:pt>
                <c:pt idx="34">
                  <c:v>23.6</c:v>
                </c:pt>
                <c:pt idx="35">
                  <c:v>24</c:v>
                </c:pt>
                <c:pt idx="36">
                  <c:v>24.4</c:v>
                </c:pt>
                <c:pt idx="37">
                  <c:v>24.8</c:v>
                </c:pt>
                <c:pt idx="38">
                  <c:v>25.2</c:v>
                </c:pt>
                <c:pt idx="39">
                  <c:v>25.6</c:v>
                </c:pt>
                <c:pt idx="40">
                  <c:v>26</c:v>
                </c:pt>
                <c:pt idx="41">
                  <c:v>26.4</c:v>
                </c:pt>
                <c:pt idx="42">
                  <c:v>26.8</c:v>
                </c:pt>
                <c:pt idx="43">
                  <c:v>27.2</c:v>
                </c:pt>
                <c:pt idx="44">
                  <c:v>27.6</c:v>
                </c:pt>
                <c:pt idx="45">
                  <c:v>28</c:v>
                </c:pt>
                <c:pt idx="46">
                  <c:v>28.400000000000002</c:v>
                </c:pt>
                <c:pt idx="47">
                  <c:v>28.799999999999997</c:v>
                </c:pt>
                <c:pt idx="48">
                  <c:v>29.2</c:v>
                </c:pt>
                <c:pt idx="49">
                  <c:v>29.6</c:v>
                </c:pt>
                <c:pt idx="50">
                  <c:v>30</c:v>
                </c:pt>
                <c:pt idx="51">
                  <c:v>30.4</c:v>
                </c:pt>
                <c:pt idx="52">
                  <c:v>30.8</c:v>
                </c:pt>
                <c:pt idx="53">
                  <c:v>31.200000000000003</c:v>
                </c:pt>
                <c:pt idx="54">
                  <c:v>31.6</c:v>
                </c:pt>
                <c:pt idx="55">
                  <c:v>32</c:v>
                </c:pt>
                <c:pt idx="56">
                  <c:v>32.400000000000006</c:v>
                </c:pt>
                <c:pt idx="57">
                  <c:v>32.799999999999997</c:v>
                </c:pt>
                <c:pt idx="58">
                  <c:v>33.200000000000003</c:v>
                </c:pt>
                <c:pt idx="59">
                  <c:v>33.599999999999994</c:v>
                </c:pt>
                <c:pt idx="60">
                  <c:v>34</c:v>
                </c:pt>
                <c:pt idx="61">
                  <c:v>34.4</c:v>
                </c:pt>
                <c:pt idx="62">
                  <c:v>34.799999999999997</c:v>
                </c:pt>
                <c:pt idx="63">
                  <c:v>35.200000000000003</c:v>
                </c:pt>
                <c:pt idx="64">
                  <c:v>35.6</c:v>
                </c:pt>
                <c:pt idx="65">
                  <c:v>36</c:v>
                </c:pt>
                <c:pt idx="66">
                  <c:v>36.400000000000006</c:v>
                </c:pt>
                <c:pt idx="67">
                  <c:v>36.799999999999997</c:v>
                </c:pt>
                <c:pt idx="68">
                  <c:v>37.200000000000003</c:v>
                </c:pt>
                <c:pt idx="69">
                  <c:v>37.599999999999994</c:v>
                </c:pt>
                <c:pt idx="70">
                  <c:v>38</c:v>
                </c:pt>
                <c:pt idx="71">
                  <c:v>38.4</c:v>
                </c:pt>
                <c:pt idx="72">
                  <c:v>38.799999999999997</c:v>
                </c:pt>
                <c:pt idx="73">
                  <c:v>39.200000000000003</c:v>
                </c:pt>
                <c:pt idx="74">
                  <c:v>39.6</c:v>
                </c:pt>
                <c:pt idx="75">
                  <c:v>40</c:v>
                </c:pt>
                <c:pt idx="76">
                  <c:v>40.4</c:v>
                </c:pt>
                <c:pt idx="77">
                  <c:v>40.799999999999997</c:v>
                </c:pt>
                <c:pt idx="78">
                  <c:v>41.2</c:v>
                </c:pt>
                <c:pt idx="79">
                  <c:v>41.6</c:v>
                </c:pt>
                <c:pt idx="80">
                  <c:v>42</c:v>
                </c:pt>
                <c:pt idx="81">
                  <c:v>42.400000000000006</c:v>
                </c:pt>
                <c:pt idx="82">
                  <c:v>42.8</c:v>
                </c:pt>
                <c:pt idx="83">
                  <c:v>43.199999999999996</c:v>
                </c:pt>
                <c:pt idx="84">
                  <c:v>43.6</c:v>
                </c:pt>
                <c:pt idx="85">
                  <c:v>44</c:v>
                </c:pt>
                <c:pt idx="86">
                  <c:v>44.4</c:v>
                </c:pt>
                <c:pt idx="87">
                  <c:v>44.8</c:v>
                </c:pt>
                <c:pt idx="88">
                  <c:v>45.2</c:v>
                </c:pt>
                <c:pt idx="89">
                  <c:v>45.6</c:v>
                </c:pt>
                <c:pt idx="90">
                  <c:v>46</c:v>
                </c:pt>
                <c:pt idx="91">
                  <c:v>46.4</c:v>
                </c:pt>
                <c:pt idx="92">
                  <c:v>46.800000000000004</c:v>
                </c:pt>
                <c:pt idx="93">
                  <c:v>47.2</c:v>
                </c:pt>
                <c:pt idx="94">
                  <c:v>47.599999999999994</c:v>
                </c:pt>
                <c:pt idx="95">
                  <c:v>48</c:v>
                </c:pt>
                <c:pt idx="96">
                  <c:v>48.4</c:v>
                </c:pt>
                <c:pt idx="97">
                  <c:v>48.8</c:v>
                </c:pt>
                <c:pt idx="98">
                  <c:v>49.2</c:v>
                </c:pt>
                <c:pt idx="99">
                  <c:v>49.6</c:v>
                </c:pt>
                <c:pt idx="100">
                  <c:v>50</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E3D2-4AAE-A862-B0653CA42EEC}"/>
            </c:ext>
          </c:extLst>
        </c:ser>
        <c:dLbls>
          <c:showLegendKey val="0"/>
          <c:showVal val="0"/>
          <c:showCatName val="0"/>
          <c:showSerName val="0"/>
          <c:showPercent val="0"/>
          <c:showBubbleSize val="0"/>
        </c:dLbls>
        <c:axId val="143650816"/>
        <c:axId val="143652736"/>
      </c:scatterChart>
      <c:valAx>
        <c:axId val="143650816"/>
        <c:scaling>
          <c:orientation val="minMax"/>
        </c:scaling>
        <c:delete val="0"/>
        <c:axPos val="b"/>
        <c:majorGridlines/>
        <c:title>
          <c:tx>
            <c:rich>
              <a:bodyPr/>
              <a:lstStyle/>
              <a:p>
                <a:pPr>
                  <a:defRPr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cs-CZ"/>
          </a:p>
        </c:txPr>
        <c:crossAx val="143652736"/>
        <c:crosses val="autoZero"/>
        <c:crossBetween val="midCat"/>
      </c:valAx>
      <c:valAx>
        <c:axId val="143652736"/>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cs-CZ"/>
          </a:p>
        </c:txPr>
        <c:crossAx val="14365081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cs-CZ"/>
    </a:p>
  </c:txPr>
  <c:printSettings>
    <c:headerFooter alignWithMargins="0"/>
    <c:pageMargins b="1" l="0.75000000000000822" r="0.75000000000000822"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036D-4953-92B1-6105F58BA253}"/>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036D-4953-92B1-6105F58BA253}"/>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036D-4953-92B1-6105F58BA253}"/>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036D-4953-92B1-6105F58BA253}"/>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036D-4953-92B1-6105F58BA253}"/>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036D-4953-92B1-6105F58BA253}"/>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036D-4953-92B1-6105F58BA253}"/>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036D-4953-92B1-6105F58BA253}"/>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036D-4953-92B1-6105F58BA253}"/>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036D-4953-92B1-6105F58BA253}"/>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036D-4953-92B1-6105F58BA253}"/>
            </c:ext>
          </c:extLst>
        </c:ser>
        <c:dLbls>
          <c:showLegendKey val="0"/>
          <c:showVal val="0"/>
          <c:showCatName val="0"/>
          <c:showSerName val="0"/>
          <c:showPercent val="0"/>
          <c:showBubbleSize val="0"/>
        </c:dLbls>
        <c:axId val="140075008"/>
        <c:axId val="140076928"/>
      </c:areaChart>
      <c:catAx>
        <c:axId val="140075008"/>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cs-CZ"/>
          </a:p>
        </c:txPr>
        <c:crossAx val="140076928"/>
        <c:crosses val="autoZero"/>
        <c:auto val="1"/>
        <c:lblAlgn val="ctr"/>
        <c:lblOffset val="100"/>
        <c:tickMarkSkip val="1"/>
        <c:noMultiLvlLbl val="0"/>
      </c:catAx>
      <c:valAx>
        <c:axId val="140076928"/>
        <c:scaling>
          <c:orientation val="minMax"/>
          <c:max val="0.2"/>
          <c:min val="0"/>
        </c:scaling>
        <c:delete val="0"/>
        <c:axPos val="l"/>
        <c:majorGridlines>
          <c:spPr>
            <a:ln w="3175">
              <a:solidFill>
                <a:srgbClr val="000000"/>
              </a:solidFill>
              <a:prstDash val="solid"/>
            </a:ln>
          </c:spPr>
        </c:majorGridlines>
        <c:min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cs-CZ"/>
          </a:p>
        </c:txPr>
        <c:crossAx val="140075008"/>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cs-CZ"/>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cs-CZ"/>
    </a:p>
  </c:txPr>
  <c:printSettings>
    <c:headerFooter alignWithMargins="0"/>
    <c:pageMargins b="1" l="0.75000000000000189" r="0.75000000000000189"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555-46F7-BA48-E66736979A4E}"/>
                </c:ext>
              </c:extLst>
            </c:dLbl>
            <c:spPr>
              <a:noFill/>
              <a:ln>
                <a:noFill/>
              </a:ln>
              <a:effectLst/>
            </c:spPr>
            <c:txPr>
              <a:bodyPr/>
              <a:lstStyle/>
              <a:p>
                <a:pPr>
                  <a:defRPr sz="1200" b="1"/>
                </a:pPr>
                <a:endParaRPr lang="cs-CZ"/>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F555-46F7-BA48-E66736979A4E}"/>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555-46F7-BA48-E66736979A4E}"/>
                </c:ext>
              </c:extLst>
            </c:dLbl>
            <c:spPr>
              <a:noFill/>
              <a:ln>
                <a:noFill/>
              </a:ln>
              <a:effectLst/>
            </c:spPr>
            <c:txPr>
              <a:bodyPr/>
              <a:lstStyle/>
              <a:p>
                <a:pPr>
                  <a:defRPr sz="1200" b="1"/>
                </a:pPr>
                <a:endParaRPr lang="cs-CZ"/>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F555-46F7-BA48-E66736979A4E}"/>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555-46F7-BA48-E66736979A4E}"/>
                </c:ext>
              </c:extLst>
            </c:dLbl>
            <c:spPr>
              <a:noFill/>
              <a:ln>
                <a:noFill/>
              </a:ln>
              <a:effectLst/>
            </c:spPr>
            <c:txPr>
              <a:bodyPr/>
              <a:lstStyle/>
              <a:p>
                <a:pPr>
                  <a:defRPr b="1"/>
                </a:pPr>
                <a:endParaRPr lang="cs-CZ"/>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F555-46F7-BA48-E66736979A4E}"/>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555-46F7-BA48-E66736979A4E}"/>
                </c:ext>
              </c:extLst>
            </c:dLbl>
            <c:spPr>
              <a:noFill/>
              <a:ln>
                <a:noFill/>
              </a:ln>
              <a:effectLst/>
            </c:spPr>
            <c:txPr>
              <a:bodyPr/>
              <a:lstStyle/>
              <a:p>
                <a:pPr>
                  <a:defRPr sz="1200" b="1"/>
                </a:pPr>
                <a:endParaRPr lang="cs-CZ"/>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F555-46F7-BA48-E66736979A4E}"/>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555-46F7-BA48-E66736979A4E}"/>
                </c:ext>
              </c:extLst>
            </c:dLbl>
            <c:spPr>
              <a:noFill/>
              <a:ln>
                <a:noFill/>
              </a:ln>
              <a:effectLst/>
            </c:spPr>
            <c:txPr>
              <a:bodyPr rot="0" vert="horz"/>
              <a:lstStyle/>
              <a:p>
                <a:pPr>
                  <a:defRPr sz="1200" b="1"/>
                </a:pPr>
                <a:endParaRPr lang="cs-CZ"/>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F555-46F7-BA48-E66736979A4E}"/>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555-46F7-BA48-E66736979A4E}"/>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F555-46F7-BA48-E66736979A4E}"/>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F555-46F7-BA48-E66736979A4E}"/>
                </c:ext>
              </c:extLst>
            </c:dLbl>
            <c:spPr>
              <a:noFill/>
              <a:ln>
                <a:noFill/>
              </a:ln>
              <a:effectLst/>
            </c:spPr>
            <c:txPr>
              <a:bodyPr/>
              <a:lstStyle/>
              <a:p>
                <a:pPr>
                  <a:defRPr sz="1200" b="1"/>
                </a:pPr>
                <a:endParaRPr lang="cs-CZ"/>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F555-46F7-BA48-E66736979A4E}"/>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F555-46F7-BA48-E66736979A4E}"/>
                </c:ext>
              </c:extLst>
            </c:dLbl>
            <c:spPr>
              <a:noFill/>
              <a:ln>
                <a:noFill/>
              </a:ln>
              <a:effectLst/>
            </c:spPr>
            <c:txPr>
              <a:bodyPr/>
              <a:lstStyle/>
              <a:p>
                <a:pPr>
                  <a:defRPr sz="1200" b="1"/>
                </a:pPr>
                <a:endParaRPr lang="cs-CZ"/>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F555-46F7-BA48-E66736979A4E}"/>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F555-46F7-BA48-E66736979A4E}"/>
                </c:ext>
              </c:extLst>
            </c:dLbl>
            <c:numFmt formatCode="0.0E+00" sourceLinked="0"/>
            <c:spPr>
              <a:noFill/>
            </c:spPr>
            <c:txPr>
              <a:bodyPr rot="0" vert="horz" anchor="ctr" anchorCtr="0"/>
              <a:lstStyle/>
              <a:p>
                <a:pPr>
                  <a:defRPr sz="1200" b="1"/>
                </a:pPr>
                <a:endParaRPr lang="cs-CZ"/>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F555-46F7-BA48-E66736979A4E}"/>
            </c:ext>
          </c:extLst>
        </c:ser>
        <c:dLbls>
          <c:showLegendKey val="0"/>
          <c:showVal val="0"/>
          <c:showCatName val="0"/>
          <c:showSerName val="0"/>
          <c:showPercent val="0"/>
          <c:showBubbleSize val="0"/>
        </c:dLbls>
        <c:gapWidth val="101"/>
        <c:overlap val="-70"/>
        <c:axId val="144265984"/>
        <c:axId val="144267520"/>
      </c:barChart>
      <c:catAx>
        <c:axId val="144265984"/>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cs-CZ"/>
          </a:p>
        </c:txPr>
        <c:crossAx val="144267520"/>
        <c:crossesAt val="0"/>
        <c:auto val="1"/>
        <c:lblAlgn val="ctr"/>
        <c:lblOffset val="100"/>
        <c:noMultiLvlLbl val="0"/>
      </c:catAx>
      <c:valAx>
        <c:axId val="144267520"/>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44265984"/>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cs-CZ"/>
    </a:p>
  </c:txPr>
  <c:printSettings>
    <c:headerFooter alignWithMargins="0"/>
    <c:pageMargins b="1" l="0.75000000000000255" r="0.75000000000000255"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3EC7-4E9A-9243-178E53F09DD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3EC7-4E9A-9243-178E53F09DD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3EC7-4E9A-9243-178E53F09DD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3EC7-4E9A-9243-178E53F09DD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3EC7-4E9A-9243-178E53F09DD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3EC7-4E9A-9243-178E53F09DD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3EC7-4E9A-9243-178E53F09DD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3EC7-4E9A-9243-178E53F09DD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3EC7-4E9A-9243-178E53F09DD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3EC7-4E9A-9243-178E53F09DD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3EC7-4E9A-9243-178E53F09DDE}"/>
            </c:ext>
          </c:extLst>
        </c:ser>
        <c:dLbls>
          <c:showLegendKey val="0"/>
          <c:showVal val="0"/>
          <c:showCatName val="0"/>
          <c:showSerName val="0"/>
          <c:showPercent val="0"/>
          <c:showBubbleSize val="0"/>
        </c:dLbls>
        <c:axId val="144320768"/>
        <c:axId val="144322944"/>
      </c:areaChart>
      <c:catAx>
        <c:axId val="144320768"/>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cs-CZ"/>
          </a:p>
        </c:txPr>
        <c:crossAx val="144322944"/>
        <c:crosses val="autoZero"/>
        <c:auto val="1"/>
        <c:lblAlgn val="ctr"/>
        <c:lblOffset val="100"/>
        <c:tickMarkSkip val="1"/>
        <c:noMultiLvlLbl val="0"/>
      </c:catAx>
      <c:valAx>
        <c:axId val="144322944"/>
        <c:scaling>
          <c:orientation val="minMax"/>
          <c:max val="0.2"/>
          <c:min val="0"/>
        </c:scaling>
        <c:delete val="0"/>
        <c:axPos val="l"/>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cs-CZ"/>
          </a:p>
        </c:txPr>
        <c:crossAx val="144320768"/>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cs-CZ"/>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cs-CZ"/>
    </a:p>
  </c:txPr>
  <c:printSettings>
    <c:headerFooter alignWithMargins="0"/>
    <c:pageMargins b="1" l="0.75000000000000189" r="0.75000000000000189"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0</c:v>
                </c:pt>
                <c:pt idx="1">
                  <c:v>0</c:v>
                </c:pt>
                <c:pt idx="2">
                  <c:v>0</c:v>
                </c:pt>
                <c:pt idx="3">
                  <c:v>0</c:v>
                </c:pt>
                <c:pt idx="100">
                  <c:v>0</c:v>
                </c:pt>
              </c:numCache>
            </c:numRef>
          </c:cat>
          <c:val>
            <c:numRef>
              <c:f>Parameters!$BZ$6:$BZ$106</c:f>
              <c:numCache>
                <c:formatCode>0.00</c:formatCode>
                <c:ptCount val="101"/>
                <c:pt idx="0">
                  <c:v>0</c:v>
                </c:pt>
                <c:pt idx="1">
                  <c:v>0</c:v>
                </c:pt>
                <c:pt idx="2">
                  <c:v>0</c:v>
                </c:pt>
                <c:pt idx="3">
                  <c:v>0</c:v>
                </c:pt>
                <c:pt idx="100">
                  <c:v>0</c:v>
                </c:pt>
              </c:numCache>
            </c:numRef>
          </c:val>
          <c:smooth val="1"/>
          <c:extLst>
            <c:ext xmlns:c16="http://schemas.microsoft.com/office/drawing/2014/chart" uri="{C3380CC4-5D6E-409C-BE32-E72D297353CC}">
              <c16:uniqueId val="{00000000-3CCE-4522-A9D7-F9F6E2711E2E}"/>
            </c:ext>
          </c:extLst>
        </c:ser>
        <c:dLbls>
          <c:showLegendKey val="0"/>
          <c:showVal val="0"/>
          <c:showCatName val="0"/>
          <c:showSerName val="0"/>
          <c:showPercent val="0"/>
          <c:showBubbleSize val="0"/>
        </c:dLbls>
        <c:marker val="1"/>
        <c:smooth val="0"/>
        <c:axId val="144380288"/>
        <c:axId val="144382208"/>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0</c:v>
                </c:pt>
                <c:pt idx="1">
                  <c:v>0</c:v>
                </c:pt>
                <c:pt idx="2">
                  <c:v>0</c:v>
                </c:pt>
                <c:pt idx="3">
                  <c:v>0</c:v>
                </c:pt>
                <c:pt idx="100">
                  <c:v>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3CCE-4522-A9D7-F9F6E2711E2E}"/>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0</c:v>
                </c:pt>
                <c:pt idx="1">
                  <c:v>0</c:v>
                </c:pt>
                <c:pt idx="2">
                  <c:v>0</c:v>
                </c:pt>
                <c:pt idx="3">
                  <c:v>0</c:v>
                </c:pt>
                <c:pt idx="100">
                  <c:v>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3CCE-4522-A9D7-F9F6E2711E2E}"/>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0</c:v>
                </c:pt>
                <c:pt idx="1">
                  <c:v>0</c:v>
                </c:pt>
                <c:pt idx="2">
                  <c:v>0</c:v>
                </c:pt>
                <c:pt idx="3">
                  <c:v>0</c:v>
                </c:pt>
                <c:pt idx="100">
                  <c:v>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3CCE-4522-A9D7-F9F6E2711E2E}"/>
            </c:ext>
          </c:extLst>
        </c:ser>
        <c:dLbls>
          <c:showLegendKey val="0"/>
          <c:showVal val="0"/>
          <c:showCatName val="0"/>
          <c:showSerName val="0"/>
          <c:showPercent val="0"/>
          <c:showBubbleSize val="0"/>
        </c:dLbls>
        <c:marker val="1"/>
        <c:smooth val="0"/>
        <c:axId val="144390400"/>
        <c:axId val="144388480"/>
      </c:lineChart>
      <c:catAx>
        <c:axId val="144380288"/>
        <c:scaling>
          <c:orientation val="minMax"/>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cs-CZ"/>
          </a:p>
        </c:txPr>
        <c:crossAx val="144382208"/>
        <c:crosses val="autoZero"/>
        <c:auto val="1"/>
        <c:lblAlgn val="ctr"/>
        <c:lblOffset val="100"/>
        <c:tickLblSkip val="20"/>
        <c:tickMarkSkip val="20"/>
        <c:noMultiLvlLbl val="0"/>
      </c:catAx>
      <c:valAx>
        <c:axId val="144382208"/>
        <c:scaling>
          <c:orientation val="minMax"/>
          <c:max val="95"/>
          <c:min val="65"/>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cs-CZ"/>
          </a:p>
        </c:txPr>
        <c:crossAx val="144380288"/>
        <c:crossesAt val="0"/>
        <c:crossBetween val="between"/>
        <c:majorUnit val="5"/>
        <c:minorUnit val="2.5"/>
      </c:valAx>
      <c:valAx>
        <c:axId val="144388480"/>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sz="1100" b="1">
                <a:solidFill>
                  <a:srgbClr val="0000FF"/>
                </a:solidFill>
              </a:defRPr>
            </a:pPr>
            <a:endParaRPr lang="cs-CZ"/>
          </a:p>
        </c:txPr>
        <c:crossAx val="144390400"/>
        <c:crosses val="max"/>
        <c:crossBetween val="between"/>
      </c:valAx>
      <c:catAx>
        <c:axId val="144390400"/>
        <c:scaling>
          <c:orientation val="minMax"/>
        </c:scaling>
        <c:delete val="1"/>
        <c:axPos val="b"/>
        <c:numFmt formatCode="0.000" sourceLinked="1"/>
        <c:majorTickMark val="out"/>
        <c:minorTickMark val="none"/>
        <c:tickLblPos val="nextTo"/>
        <c:crossAx val="144388480"/>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cs-CZ"/>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cs-CZ"/>
    </a:p>
  </c:txPr>
  <c:printSettings>
    <c:headerFooter alignWithMargins="0"/>
    <c:pageMargins b="1" l="0.75000000000000666" r="0.75000000000000666" t="1" header="0.5" footer="0.5"/>
    <c:pageSetup paperSize="5"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Parameters!$BZ$6:$BZ$106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0-A822-4623-8F3D-18E0E516CEDF}"/>
            </c:ext>
          </c:extLst>
        </c:ser>
        <c:dLbls>
          <c:showLegendKey val="0"/>
          <c:showVal val="0"/>
          <c:showCatName val="0"/>
          <c:showSerName val="0"/>
          <c:showPercent val="0"/>
          <c:showBubbleSize val="0"/>
        </c:dLbls>
        <c:axId val="144455936"/>
        <c:axId val="14446630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A822-4623-8F3D-18E0E516CEDF}"/>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A822-4623-8F3D-18E0E516CEDF}"/>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A822-4623-8F3D-18E0E516CEDF}"/>
            </c:ext>
          </c:extLst>
        </c:ser>
        <c:dLbls>
          <c:showLegendKey val="0"/>
          <c:showVal val="0"/>
          <c:showCatName val="0"/>
          <c:showSerName val="0"/>
          <c:showPercent val="0"/>
          <c:showBubbleSize val="0"/>
        </c:dLbls>
        <c:axId val="144474496"/>
        <c:axId val="144468224"/>
      </c:scatterChart>
      <c:valAx>
        <c:axId val="144455936"/>
        <c:scaling>
          <c:logBase val="10"/>
          <c:orientation val="minMax"/>
          <c:min val="0.1"/>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cs-CZ"/>
          </a:p>
        </c:txPr>
        <c:crossAx val="144466304"/>
        <c:crosses val="autoZero"/>
        <c:crossBetween val="midCat"/>
      </c:valAx>
      <c:valAx>
        <c:axId val="144466304"/>
        <c:scaling>
          <c:orientation val="minMax"/>
          <c:max val="95"/>
          <c:min val="60"/>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cs-CZ"/>
          </a:p>
        </c:txPr>
        <c:crossAx val="144455936"/>
        <c:crossesAt val="0"/>
        <c:crossBetween val="midCat"/>
        <c:majorUnit val="5"/>
        <c:minorUnit val="2.5"/>
      </c:valAx>
      <c:valAx>
        <c:axId val="144468224"/>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sz="1100" b="1">
                <a:solidFill>
                  <a:srgbClr val="0000FF"/>
                </a:solidFill>
              </a:defRPr>
            </a:pPr>
            <a:endParaRPr lang="cs-CZ"/>
          </a:p>
        </c:txPr>
        <c:crossAx val="144474496"/>
        <c:crosses val="max"/>
        <c:crossBetween val="midCat"/>
      </c:valAx>
      <c:valAx>
        <c:axId val="144474496"/>
        <c:scaling>
          <c:logBase val="10"/>
          <c:orientation val="minMax"/>
        </c:scaling>
        <c:delete val="1"/>
        <c:axPos val="b"/>
        <c:numFmt formatCode="0.000" sourceLinked="1"/>
        <c:majorTickMark val="out"/>
        <c:minorTickMark val="none"/>
        <c:tickLblPos val="nextTo"/>
        <c:crossAx val="144468224"/>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cs-CZ"/>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cs-CZ"/>
    </a:p>
  </c:txPr>
  <c:printSettings>
    <c:headerFooter alignWithMargins="0"/>
    <c:pageMargins b="1" l="0.75000000000000666" r="0.75000000000000666" t="1" header="0.5" footer="0.5"/>
    <c:pageSetup paperSize="5"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472-4E06-B904-0A3DFEA515FE}"/>
                </c:ext>
              </c:extLst>
            </c:dLbl>
            <c:spPr>
              <a:noFill/>
              <a:ln>
                <a:noFill/>
              </a:ln>
              <a:effectLst/>
            </c:spPr>
            <c:txPr>
              <a:bodyPr/>
              <a:lstStyle/>
              <a:p>
                <a:pPr>
                  <a:defRPr sz="1200" b="1"/>
                </a:pPr>
                <a:endParaRPr lang="cs-CZ"/>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6472-4E06-B904-0A3DFEA515FE}"/>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472-4E06-B904-0A3DFEA515FE}"/>
                </c:ext>
              </c:extLst>
            </c:dLbl>
            <c:spPr>
              <a:noFill/>
              <a:ln>
                <a:noFill/>
              </a:ln>
              <a:effectLst/>
            </c:spPr>
            <c:txPr>
              <a:bodyPr/>
              <a:lstStyle/>
              <a:p>
                <a:pPr>
                  <a:defRPr sz="1200" b="1"/>
                </a:pPr>
                <a:endParaRPr lang="cs-CZ"/>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6472-4E06-B904-0A3DFEA515FE}"/>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472-4E06-B904-0A3DFEA515FE}"/>
                </c:ext>
              </c:extLst>
            </c:dLbl>
            <c:spPr>
              <a:noFill/>
              <a:ln>
                <a:noFill/>
              </a:ln>
              <a:effectLst/>
            </c:spPr>
            <c:txPr>
              <a:bodyPr/>
              <a:lstStyle/>
              <a:p>
                <a:pPr>
                  <a:defRPr b="1"/>
                </a:pPr>
                <a:endParaRPr lang="cs-CZ"/>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6472-4E06-B904-0A3DFEA515FE}"/>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472-4E06-B904-0A3DFEA515FE}"/>
                </c:ext>
              </c:extLst>
            </c:dLbl>
            <c:spPr>
              <a:noFill/>
              <a:ln>
                <a:noFill/>
              </a:ln>
              <a:effectLst/>
            </c:spPr>
            <c:txPr>
              <a:bodyPr/>
              <a:lstStyle/>
              <a:p>
                <a:pPr>
                  <a:defRPr sz="1200" b="1"/>
                </a:pPr>
                <a:endParaRPr lang="cs-CZ"/>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6472-4E06-B904-0A3DFEA515FE}"/>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472-4E06-B904-0A3DFEA515FE}"/>
                </c:ext>
              </c:extLst>
            </c:dLbl>
            <c:spPr>
              <a:noFill/>
              <a:ln>
                <a:noFill/>
              </a:ln>
              <a:effectLst/>
            </c:spPr>
            <c:txPr>
              <a:bodyPr rot="0" vert="horz"/>
              <a:lstStyle/>
              <a:p>
                <a:pPr>
                  <a:defRPr sz="1200" b="1"/>
                </a:pPr>
                <a:endParaRPr lang="cs-CZ"/>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6472-4E06-B904-0A3DFEA515FE}"/>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472-4E06-B904-0A3DFEA515FE}"/>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6472-4E06-B904-0A3DFEA515FE}"/>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472-4E06-B904-0A3DFEA515FE}"/>
                </c:ext>
              </c:extLst>
            </c:dLbl>
            <c:spPr>
              <a:noFill/>
              <a:ln>
                <a:noFill/>
              </a:ln>
              <a:effectLst/>
            </c:spPr>
            <c:txPr>
              <a:bodyPr/>
              <a:lstStyle/>
              <a:p>
                <a:pPr>
                  <a:defRPr sz="1200" b="1"/>
                </a:pPr>
                <a:endParaRPr lang="cs-CZ"/>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6472-4E06-B904-0A3DFEA515FE}"/>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6472-4E06-B904-0A3DFEA515FE}"/>
                </c:ext>
              </c:extLst>
            </c:dLbl>
            <c:spPr>
              <a:noFill/>
              <a:ln>
                <a:noFill/>
              </a:ln>
              <a:effectLst/>
            </c:spPr>
            <c:txPr>
              <a:bodyPr/>
              <a:lstStyle/>
              <a:p>
                <a:pPr>
                  <a:defRPr sz="1200" b="1"/>
                </a:pPr>
                <a:endParaRPr lang="cs-CZ"/>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6472-4E06-B904-0A3DFEA515FE}"/>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6472-4E06-B904-0A3DFEA515FE}"/>
                </c:ext>
              </c:extLst>
            </c:dLbl>
            <c:numFmt formatCode="0.0E+00" sourceLinked="0"/>
            <c:spPr>
              <a:noFill/>
            </c:spPr>
            <c:txPr>
              <a:bodyPr rot="0" vert="horz" anchor="ctr" anchorCtr="0"/>
              <a:lstStyle/>
              <a:p>
                <a:pPr>
                  <a:defRPr sz="1200" b="1"/>
                </a:pPr>
                <a:endParaRPr lang="cs-CZ"/>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6472-4E06-B904-0A3DFEA515FE}"/>
            </c:ext>
          </c:extLst>
        </c:ser>
        <c:dLbls>
          <c:showLegendKey val="0"/>
          <c:showVal val="0"/>
          <c:showCatName val="0"/>
          <c:showSerName val="0"/>
          <c:showPercent val="0"/>
          <c:showBubbleSize val="0"/>
        </c:dLbls>
        <c:gapWidth val="101"/>
        <c:overlap val="-70"/>
        <c:axId val="144649216"/>
        <c:axId val="144659200"/>
      </c:barChart>
      <c:catAx>
        <c:axId val="144649216"/>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cs-CZ"/>
          </a:p>
        </c:txPr>
        <c:crossAx val="144659200"/>
        <c:crossesAt val="0"/>
        <c:auto val="1"/>
        <c:lblAlgn val="ctr"/>
        <c:lblOffset val="100"/>
        <c:noMultiLvlLbl val="0"/>
      </c:catAx>
      <c:valAx>
        <c:axId val="144659200"/>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44649216"/>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cs-CZ"/>
    </a:p>
  </c:txPr>
  <c:printSettings>
    <c:headerFooter alignWithMargins="0"/>
    <c:pageMargins b="1" l="0.75000000000000255" r="0.75000000000000255"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Single'!$BY$5:$BY$105</c:f>
              <c:numCache>
                <c:formatCode>0.00</c:formatCode>
                <c:ptCount val="101"/>
                <c:pt idx="0">
                  <c:v>4.5723931633513237E-5</c:v>
                </c:pt>
                <c:pt idx="1">
                  <c:v>30.839516160974089</c:v>
                </c:pt>
                <c:pt idx="2">
                  <c:v>46.531662702794478</c:v>
                </c:pt>
                <c:pt idx="3">
                  <c:v>56.035969184914961</c:v>
                </c:pt>
                <c:pt idx="4">
                  <c:v>61.820877418239995</c:v>
                </c:pt>
                <c:pt idx="5">
                  <c:v>65.308011379798401</c:v>
                </c:pt>
                <c:pt idx="6">
                  <c:v>67.859549600479056</c:v>
                </c:pt>
                <c:pt idx="7">
                  <c:v>69.807336536086709</c:v>
                </c:pt>
                <c:pt idx="8">
                  <c:v>71.34286392043002</c:v>
                </c:pt>
                <c:pt idx="9">
                  <c:v>72.584378021695457</c:v>
                </c:pt>
                <c:pt idx="10">
                  <c:v>73.608843957753066</c:v>
                </c:pt>
                <c:pt idx="11">
                  <c:v>74.468514586264007</c:v>
                </c:pt>
                <c:pt idx="12">
                  <c:v>75.200112108267078</c:v>
                </c:pt>
                <c:pt idx="13">
                  <c:v>75.830199188963377</c:v>
                </c:pt>
                <c:pt idx="14">
                  <c:v>76.378465208017346</c:v>
                </c:pt>
                <c:pt idx="15">
                  <c:v>76.859814421304648</c:v>
                </c:pt>
                <c:pt idx="16">
                  <c:v>77.285736439229765</c:v>
                </c:pt>
                <c:pt idx="17">
                  <c:v>77.66523120395513</c:v>
                </c:pt>
                <c:pt idx="18">
                  <c:v>78.005448738689338</c:v>
                </c:pt>
                <c:pt idx="19">
                  <c:v>78.312141266301367</c:v>
                </c:pt>
                <c:pt idx="20">
                  <c:v>78.589988907201814</c:v>
                </c:pt>
                <c:pt idx="21">
                  <c:v>78.842838361660668</c:v>
                </c:pt>
                <c:pt idx="22">
                  <c:v>79.073880542890734</c:v>
                </c:pt>
                <c:pt idx="23">
                  <c:v>79.285784633695641</c:v>
                </c:pt>
                <c:pt idx="24">
                  <c:v>79.480800548681557</c:v>
                </c:pt>
                <c:pt idx="25">
                  <c:v>79.660838161025666</c:v>
                </c:pt>
                <c:pt idx="26">
                  <c:v>79.827529217338508</c:v>
                </c:pt>
                <c:pt idx="27">
                  <c:v>79.982276198937555</c:v>
                </c:pt>
                <c:pt idx="28">
                  <c:v>80.126291231395953</c:v>
                </c:pt>
                <c:pt idx="29">
                  <c:v>80.260627329500068</c:v>
                </c:pt>
                <c:pt idx="30">
                  <c:v>80.386203683112427</c:v>
                </c:pt>
                <c:pt idx="31">
                  <c:v>80.503826269078672</c:v>
                </c:pt>
                <c:pt idx="32">
                  <c:v>80.614204767033399</c:v>
                </c:pt>
                <c:pt idx="33">
                  <c:v>80.71796652993531</c:v>
                </c:pt>
                <c:pt idx="34">
                  <c:v>80.815668190761528</c:v>
                </c:pt>
                <c:pt idx="35">
                  <c:v>80.907805359208666</c:v>
                </c:pt>
                <c:pt idx="36">
                  <c:v>80.994820765319943</c:v>
                </c:pt>
                <c:pt idx="37">
                  <c:v>81.077111132712531</c:v>
                </c:pt>
                <c:pt idx="38">
                  <c:v>81.155033006769074</c:v>
                </c:pt>
                <c:pt idx="39">
                  <c:v>81.228907718595551</c:v>
                </c:pt>
                <c:pt idx="40">
                  <c:v>81.29902563065977</c:v>
                </c:pt>
                <c:pt idx="41">
                  <c:v>81.36564978253206</c:v>
                </c:pt>
                <c:pt idx="42">
                  <c:v>81.429019033350329</c:v>
                </c:pt>
                <c:pt idx="43">
                  <c:v>81.489350780246411</c:v>
                </c:pt>
                <c:pt idx="44">
                  <c:v>81.546843318025282</c:v>
                </c:pt>
                <c:pt idx="45">
                  <c:v>81.60167789414696</c:v>
                </c:pt>
                <c:pt idx="46">
                  <c:v>81.65402050394971</c:v>
                </c:pt>
                <c:pt idx="47">
                  <c:v>81.704023463634428</c:v>
                </c:pt>
                <c:pt idx="48">
                  <c:v>81.751826792461955</c:v>
                </c:pt>
                <c:pt idx="49">
                  <c:v>81.797559430627814</c:v>
                </c:pt>
                <c:pt idx="50">
                  <c:v>81.841340315165766</c:v>
                </c:pt>
                <c:pt idx="51">
                  <c:v>81.883279332822255</c:v>
                </c:pt>
                <c:pt idx="52">
                  <c:v>81.92347816601</c:v>
                </c:pt>
                <c:pt idx="53">
                  <c:v>81.962031045582222</c:v>
                </c:pt>
                <c:pt idx="54">
                  <c:v>81.999025422187415</c:v>
                </c:pt>
                <c:pt idx="55">
                  <c:v>82.034542566297844</c:v>
                </c:pt>
                <c:pt idx="56">
                  <c:v>82.068658105600207</c:v>
                </c:pt>
                <c:pt idx="57">
                  <c:v>82.101442507247739</c:v>
                </c:pt>
                <c:pt idx="58">
                  <c:v>82.132961511464046</c:v>
                </c:pt>
                <c:pt idx="59">
                  <c:v>82.163276522130346</c:v>
                </c:pt>
                <c:pt idx="60">
                  <c:v>82.192444959254985</c:v>
                </c:pt>
                <c:pt idx="61">
                  <c:v>82.220520577596204</c:v>
                </c:pt>
                <c:pt idx="62">
                  <c:v>82.247553755171111</c:v>
                </c:pt>
                <c:pt idx="63">
                  <c:v>82.273591754920545</c:v>
                </c:pt>
                <c:pt idx="64">
                  <c:v>82.298678962399805</c:v>
                </c:pt>
                <c:pt idx="65">
                  <c:v>82.322857102019881</c:v>
                </c:pt>
                <c:pt idx="66">
                  <c:v>82.346165434064517</c:v>
                </c:pt>
                <c:pt idx="67">
                  <c:v>82.368640934448095</c:v>
                </c:pt>
                <c:pt idx="68">
                  <c:v>82.390318458953715</c:v>
                </c:pt>
                <c:pt idx="69">
                  <c:v>82.411230893492572</c:v>
                </c:pt>
                <c:pt idx="70">
                  <c:v>82.431409291753695</c:v>
                </c:pt>
                <c:pt idx="71">
                  <c:v>82.450883001462032</c:v>
                </c:pt>
                <c:pt idx="72">
                  <c:v>82.469679780329983</c:v>
                </c:pt>
                <c:pt idx="73">
                  <c:v>82.487825902671048</c:v>
                </c:pt>
                <c:pt idx="74">
                  <c:v>82.505346257541433</c:v>
                </c:pt>
                <c:pt idx="75">
                  <c:v>82.522264439185491</c:v>
                </c:pt>
                <c:pt idx="76">
                  <c:v>82.538602830479462</c:v>
                </c:pt>
                <c:pt idx="77">
                  <c:v>82.554382679998824</c:v>
                </c:pt>
                <c:pt idx="78">
                  <c:v>82.569624173270199</c:v>
                </c:pt>
                <c:pt idx="79">
                  <c:v>82.584346498713913</c:v>
                </c:pt>
                <c:pt idx="80">
                  <c:v>82.598567908733031</c:v>
                </c:pt>
                <c:pt idx="81">
                  <c:v>82.612305776361055</c:v>
                </c:pt>
                <c:pt idx="82">
                  <c:v>82.625576647840234</c:v>
                </c:pt>
                <c:pt idx="83">
                  <c:v>82.638396291467984</c:v>
                </c:pt>
                <c:pt idx="84">
                  <c:v>82.650779743016813</c:v>
                </c:pt>
                <c:pt idx="85">
                  <c:v>82.662741348004985</c:v>
                </c:pt>
                <c:pt idx="86">
                  <c:v>82.674294801069991</c:v>
                </c:pt>
                <c:pt idx="87">
                  <c:v>82.685453182673967</c:v>
                </c:pt>
                <c:pt idx="88">
                  <c:v>82.696228993349564</c:v>
                </c:pt>
                <c:pt idx="89">
                  <c:v>82.706634185676833</c:v>
                </c:pt>
                <c:pt idx="90">
                  <c:v>82.716680194164312</c:v>
                </c:pt>
                <c:pt idx="91">
                  <c:v>82.726377963193201</c:v>
                </c:pt>
                <c:pt idx="92">
                  <c:v>82.735737973169421</c:v>
                </c:pt>
                <c:pt idx="93">
                  <c:v>82.744770265016484</c:v>
                </c:pt>
                <c:pt idx="94">
                  <c:v>82.753484463130562</c:v>
                </c:pt>
                <c:pt idx="95">
                  <c:v>82.761889796909472</c:v>
                </c:pt>
                <c:pt idx="96">
                  <c:v>82.769995120957788</c:v>
                </c:pt>
                <c:pt idx="97">
                  <c:v>82.777808934062207</c:v>
                </c:pt>
                <c:pt idx="98">
                  <c:v>82.785339397023876</c:v>
                </c:pt>
                <c:pt idx="99">
                  <c:v>82.792594349426679</c:v>
                </c:pt>
                <c:pt idx="100">
                  <c:v>82.799581325415659</c:v>
                </c:pt>
              </c:numCache>
            </c:numRef>
          </c:val>
          <c:smooth val="0"/>
          <c:extLst>
            <c:ext xmlns:c16="http://schemas.microsoft.com/office/drawing/2014/chart" uri="{C3380CC4-5D6E-409C-BE32-E72D297353CC}">
              <c16:uniqueId val="{00000000-45D7-4776-A24B-D0CB2F76999D}"/>
            </c:ext>
          </c:extLst>
        </c:ser>
        <c:dLbls>
          <c:showLegendKey val="0"/>
          <c:showVal val="0"/>
          <c:showCatName val="0"/>
          <c:showSerName val="0"/>
          <c:showPercent val="0"/>
          <c:showBubbleSize val="0"/>
        </c:dLbls>
        <c:marker val="1"/>
        <c:smooth val="0"/>
        <c:axId val="144225408"/>
        <c:axId val="144227328"/>
      </c:lineChart>
      <c:lineChart>
        <c:grouping val="standard"/>
        <c:varyColors val="0"/>
        <c:ser>
          <c:idx val="2"/>
          <c:order val="1"/>
          <c:tx>
            <c:strRef>
              <c:f>'Calculations - Single'!$BM$3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3.4999999999999998E-7</c:v>
                </c:pt>
                <c:pt idx="1">
                  <c:v>0.35</c:v>
                </c:pt>
                <c:pt idx="2">
                  <c:v>0.7</c:v>
                </c:pt>
                <c:pt idx="3">
                  <c:v>1.05</c:v>
                </c:pt>
                <c:pt idx="4">
                  <c:v>1.4</c:v>
                </c:pt>
                <c:pt idx="5">
                  <c:v>1.7500000000000002</c:v>
                </c:pt>
                <c:pt idx="6">
                  <c:v>2.1</c:v>
                </c:pt>
                <c:pt idx="7">
                  <c:v>2.4500000000000002</c:v>
                </c:pt>
                <c:pt idx="8">
                  <c:v>2.8</c:v>
                </c:pt>
                <c:pt idx="9">
                  <c:v>3.1499999999999995</c:v>
                </c:pt>
                <c:pt idx="10">
                  <c:v>3.5000000000000004</c:v>
                </c:pt>
                <c:pt idx="11">
                  <c:v>3.85</c:v>
                </c:pt>
                <c:pt idx="12">
                  <c:v>4.2</c:v>
                </c:pt>
                <c:pt idx="13">
                  <c:v>4.55</c:v>
                </c:pt>
                <c:pt idx="14">
                  <c:v>4.9000000000000004</c:v>
                </c:pt>
                <c:pt idx="15">
                  <c:v>5.2499999999999991</c:v>
                </c:pt>
                <c:pt idx="16">
                  <c:v>5.6</c:v>
                </c:pt>
                <c:pt idx="17">
                  <c:v>5.95</c:v>
                </c:pt>
                <c:pt idx="18">
                  <c:v>6.2999999999999989</c:v>
                </c:pt>
                <c:pt idx="19">
                  <c:v>6.65</c:v>
                </c:pt>
                <c:pt idx="20">
                  <c:v>7.0000000000000009</c:v>
                </c:pt>
                <c:pt idx="21">
                  <c:v>7.35</c:v>
                </c:pt>
                <c:pt idx="22">
                  <c:v>7.7</c:v>
                </c:pt>
                <c:pt idx="23">
                  <c:v>8.0500000000000007</c:v>
                </c:pt>
                <c:pt idx="24">
                  <c:v>8.4</c:v>
                </c:pt>
                <c:pt idx="25">
                  <c:v>8.7499999999999982</c:v>
                </c:pt>
                <c:pt idx="26">
                  <c:v>9.1</c:v>
                </c:pt>
                <c:pt idx="27">
                  <c:v>9.4499999999999993</c:v>
                </c:pt>
                <c:pt idx="28">
                  <c:v>9.8000000000000007</c:v>
                </c:pt>
                <c:pt idx="29">
                  <c:v>10.149999999999999</c:v>
                </c:pt>
                <c:pt idx="30">
                  <c:v>10.499999999999998</c:v>
                </c:pt>
                <c:pt idx="31">
                  <c:v>10.849999999999998</c:v>
                </c:pt>
                <c:pt idx="32">
                  <c:v>11.2</c:v>
                </c:pt>
                <c:pt idx="33">
                  <c:v>11.549999999999999</c:v>
                </c:pt>
                <c:pt idx="34">
                  <c:v>11.9</c:v>
                </c:pt>
                <c:pt idx="35">
                  <c:v>12.249999999999998</c:v>
                </c:pt>
                <c:pt idx="36">
                  <c:v>12.599999999999998</c:v>
                </c:pt>
                <c:pt idx="37">
                  <c:v>12.949999999999998</c:v>
                </c:pt>
                <c:pt idx="38">
                  <c:v>13.3</c:v>
                </c:pt>
                <c:pt idx="39">
                  <c:v>13.650000000000002</c:v>
                </c:pt>
                <c:pt idx="40">
                  <c:v>14.000000000000002</c:v>
                </c:pt>
                <c:pt idx="41">
                  <c:v>14.35</c:v>
                </c:pt>
                <c:pt idx="42">
                  <c:v>14.7</c:v>
                </c:pt>
                <c:pt idx="43">
                  <c:v>15.05</c:v>
                </c:pt>
                <c:pt idx="44">
                  <c:v>15.4</c:v>
                </c:pt>
                <c:pt idx="45">
                  <c:v>15.75</c:v>
                </c:pt>
                <c:pt idx="46">
                  <c:v>16.100000000000001</c:v>
                </c:pt>
                <c:pt idx="47">
                  <c:v>16.45</c:v>
                </c:pt>
                <c:pt idx="48">
                  <c:v>16.8</c:v>
                </c:pt>
                <c:pt idx="49">
                  <c:v>17.149999999999999</c:v>
                </c:pt>
                <c:pt idx="50">
                  <c:v>17.499999999999996</c:v>
                </c:pt>
                <c:pt idx="51">
                  <c:v>17.850000000000001</c:v>
                </c:pt>
                <c:pt idx="52">
                  <c:v>18.2</c:v>
                </c:pt>
                <c:pt idx="53">
                  <c:v>18.55</c:v>
                </c:pt>
                <c:pt idx="54">
                  <c:v>18.899999999999999</c:v>
                </c:pt>
                <c:pt idx="55">
                  <c:v>19.25</c:v>
                </c:pt>
                <c:pt idx="56">
                  <c:v>19.600000000000001</c:v>
                </c:pt>
                <c:pt idx="57">
                  <c:v>19.949999999999996</c:v>
                </c:pt>
                <c:pt idx="58">
                  <c:v>20.299999999999997</c:v>
                </c:pt>
                <c:pt idx="59">
                  <c:v>20.65</c:v>
                </c:pt>
                <c:pt idx="60">
                  <c:v>20.999999999999996</c:v>
                </c:pt>
                <c:pt idx="61">
                  <c:v>21.349999999999998</c:v>
                </c:pt>
                <c:pt idx="62">
                  <c:v>21.699999999999996</c:v>
                </c:pt>
                <c:pt idx="63">
                  <c:v>22.05</c:v>
                </c:pt>
                <c:pt idx="64">
                  <c:v>22.4</c:v>
                </c:pt>
                <c:pt idx="65">
                  <c:v>22.75</c:v>
                </c:pt>
                <c:pt idx="66">
                  <c:v>23.099999999999998</c:v>
                </c:pt>
                <c:pt idx="67">
                  <c:v>23.45</c:v>
                </c:pt>
                <c:pt idx="68">
                  <c:v>23.8</c:v>
                </c:pt>
                <c:pt idx="69">
                  <c:v>24.149999999999995</c:v>
                </c:pt>
                <c:pt idx="70">
                  <c:v>24.499999999999996</c:v>
                </c:pt>
                <c:pt idx="71">
                  <c:v>24.849999999999998</c:v>
                </c:pt>
                <c:pt idx="72">
                  <c:v>25.199999999999996</c:v>
                </c:pt>
                <c:pt idx="73">
                  <c:v>25.549999999999997</c:v>
                </c:pt>
                <c:pt idx="74">
                  <c:v>25.899999999999995</c:v>
                </c:pt>
                <c:pt idx="75">
                  <c:v>26.250000000000004</c:v>
                </c:pt>
                <c:pt idx="76">
                  <c:v>26.6</c:v>
                </c:pt>
                <c:pt idx="77">
                  <c:v>26.950000000000003</c:v>
                </c:pt>
                <c:pt idx="78">
                  <c:v>27.300000000000004</c:v>
                </c:pt>
                <c:pt idx="79">
                  <c:v>27.650000000000006</c:v>
                </c:pt>
                <c:pt idx="80">
                  <c:v>28.000000000000004</c:v>
                </c:pt>
                <c:pt idx="81">
                  <c:v>28.350000000000005</c:v>
                </c:pt>
                <c:pt idx="82">
                  <c:v>28.7</c:v>
                </c:pt>
                <c:pt idx="83">
                  <c:v>29.05</c:v>
                </c:pt>
                <c:pt idx="84">
                  <c:v>29.4</c:v>
                </c:pt>
                <c:pt idx="85">
                  <c:v>29.75</c:v>
                </c:pt>
                <c:pt idx="86">
                  <c:v>30.1</c:v>
                </c:pt>
                <c:pt idx="87">
                  <c:v>30.450000000000003</c:v>
                </c:pt>
                <c:pt idx="88">
                  <c:v>30.8</c:v>
                </c:pt>
                <c:pt idx="89">
                  <c:v>31.150000000000002</c:v>
                </c:pt>
                <c:pt idx="90">
                  <c:v>31.5</c:v>
                </c:pt>
                <c:pt idx="91">
                  <c:v>31.850000000000005</c:v>
                </c:pt>
                <c:pt idx="92">
                  <c:v>32.200000000000003</c:v>
                </c:pt>
                <c:pt idx="93">
                  <c:v>32.550000000000004</c:v>
                </c:pt>
                <c:pt idx="94">
                  <c:v>32.9</c:v>
                </c:pt>
                <c:pt idx="95">
                  <c:v>33.249999999999993</c:v>
                </c:pt>
                <c:pt idx="96">
                  <c:v>33.6</c:v>
                </c:pt>
                <c:pt idx="97">
                  <c:v>33.950000000000003</c:v>
                </c:pt>
                <c:pt idx="98">
                  <c:v>34.299999999999997</c:v>
                </c:pt>
                <c:pt idx="99">
                  <c:v>34.65</c:v>
                </c:pt>
                <c:pt idx="100">
                  <c:v>34.999999999999993</c:v>
                </c:pt>
              </c:numCache>
            </c:numRef>
          </c:val>
          <c:smooth val="0"/>
          <c:extLst>
            <c:ext xmlns:c16="http://schemas.microsoft.com/office/drawing/2014/chart" uri="{C3380CC4-5D6E-409C-BE32-E72D297353CC}">
              <c16:uniqueId val="{00000001-45D7-4776-A24B-D0CB2F76999D}"/>
            </c:ext>
          </c:extLst>
        </c:ser>
        <c:ser>
          <c:idx val="3"/>
          <c:order val="2"/>
          <c:tx>
            <c:strRef>
              <c:f>'Calculations - Single'!$BG$3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Single'!$BL$5:$BL$105</c:f>
              <c:numCache>
                <c:formatCode>0.0</c:formatCode>
                <c:ptCount val="101"/>
                <c:pt idx="0">
                  <c:v>9.0175424513888895</c:v>
                </c:pt>
                <c:pt idx="1">
                  <c:v>9.0175424513888895</c:v>
                </c:pt>
                <c:pt idx="2">
                  <c:v>9.0175424513888895</c:v>
                </c:pt>
                <c:pt idx="3">
                  <c:v>9.0175424513888895</c:v>
                </c:pt>
                <c:pt idx="4">
                  <c:v>9.2908880002762473</c:v>
                </c:pt>
                <c:pt idx="5">
                  <c:v>9.8736100003453089</c:v>
                </c:pt>
                <c:pt idx="6">
                  <c:v>10.456332000414369</c:v>
                </c:pt>
                <c:pt idx="7">
                  <c:v>11.039054000483432</c:v>
                </c:pt>
                <c:pt idx="8">
                  <c:v>11.621776000552492</c:v>
                </c:pt>
                <c:pt idx="9">
                  <c:v>12.204498000621552</c:v>
                </c:pt>
                <c:pt idx="10">
                  <c:v>12.787220000690617</c:v>
                </c:pt>
                <c:pt idx="11">
                  <c:v>13.369942000759677</c:v>
                </c:pt>
                <c:pt idx="12">
                  <c:v>13.952664000828737</c:v>
                </c:pt>
                <c:pt idx="13">
                  <c:v>14.5353860008978</c:v>
                </c:pt>
                <c:pt idx="14">
                  <c:v>15.118108000966863</c:v>
                </c:pt>
                <c:pt idx="15">
                  <c:v>15.700830001035923</c:v>
                </c:pt>
                <c:pt idx="16">
                  <c:v>16.283552001104983</c:v>
                </c:pt>
                <c:pt idx="17">
                  <c:v>16.866274001174048</c:v>
                </c:pt>
                <c:pt idx="18">
                  <c:v>17.448996001243106</c:v>
                </c:pt>
                <c:pt idx="19">
                  <c:v>18.031718001312171</c:v>
                </c:pt>
                <c:pt idx="20">
                  <c:v>18.614440001381237</c:v>
                </c:pt>
                <c:pt idx="21">
                  <c:v>19.197162001450295</c:v>
                </c:pt>
                <c:pt idx="22">
                  <c:v>19.779884001519356</c:v>
                </c:pt>
                <c:pt idx="23">
                  <c:v>20.362606001588414</c:v>
                </c:pt>
                <c:pt idx="24">
                  <c:v>20.945328001657476</c:v>
                </c:pt>
                <c:pt idx="25">
                  <c:v>21.528050001726537</c:v>
                </c:pt>
                <c:pt idx="26">
                  <c:v>22.110772001795599</c:v>
                </c:pt>
                <c:pt idx="27">
                  <c:v>22.693494001864668</c:v>
                </c:pt>
                <c:pt idx="28">
                  <c:v>23.276216001933726</c:v>
                </c:pt>
                <c:pt idx="29">
                  <c:v>23.858938002002784</c:v>
                </c:pt>
                <c:pt idx="30">
                  <c:v>24.441660002071846</c:v>
                </c:pt>
                <c:pt idx="31">
                  <c:v>25.024382002140911</c:v>
                </c:pt>
                <c:pt idx="32">
                  <c:v>25.607104002209969</c:v>
                </c:pt>
                <c:pt idx="33">
                  <c:v>26.189826002279034</c:v>
                </c:pt>
                <c:pt idx="34">
                  <c:v>26.772548002348096</c:v>
                </c:pt>
                <c:pt idx="35">
                  <c:v>27.35527000241715</c:v>
                </c:pt>
                <c:pt idx="36">
                  <c:v>27.937992002486215</c:v>
                </c:pt>
                <c:pt idx="37">
                  <c:v>28.520714002555277</c:v>
                </c:pt>
                <c:pt idx="38">
                  <c:v>29.103436002624342</c:v>
                </c:pt>
                <c:pt idx="39">
                  <c:v>29.6861580026934</c:v>
                </c:pt>
                <c:pt idx="40">
                  <c:v>30.268880002762469</c:v>
                </c:pt>
                <c:pt idx="41">
                  <c:v>30.851602002831527</c:v>
                </c:pt>
                <c:pt idx="42">
                  <c:v>31.434324002900588</c:v>
                </c:pt>
                <c:pt idx="43">
                  <c:v>32.017046002969643</c:v>
                </c:pt>
                <c:pt idx="44">
                  <c:v>32.599768003038712</c:v>
                </c:pt>
                <c:pt idx="45">
                  <c:v>33.182490003107773</c:v>
                </c:pt>
                <c:pt idx="46">
                  <c:v>33.765212003176828</c:v>
                </c:pt>
                <c:pt idx="47">
                  <c:v>34.347934003245896</c:v>
                </c:pt>
                <c:pt idx="48">
                  <c:v>34.930656003314951</c:v>
                </c:pt>
                <c:pt idx="49">
                  <c:v>35.51337800338402</c:v>
                </c:pt>
                <c:pt idx="50">
                  <c:v>36.096100003453074</c:v>
                </c:pt>
                <c:pt idx="51">
                  <c:v>36.678822003522143</c:v>
                </c:pt>
                <c:pt idx="52">
                  <c:v>37.261544003591197</c:v>
                </c:pt>
                <c:pt idx="53">
                  <c:v>37.844266003660266</c:v>
                </c:pt>
                <c:pt idx="54">
                  <c:v>38.426988003729335</c:v>
                </c:pt>
                <c:pt idx="55">
                  <c:v>39.009710003798389</c:v>
                </c:pt>
                <c:pt idx="56">
                  <c:v>39.592432003867451</c:v>
                </c:pt>
                <c:pt idx="57">
                  <c:v>40.175154003936505</c:v>
                </c:pt>
                <c:pt idx="58">
                  <c:v>40.757876004005567</c:v>
                </c:pt>
                <c:pt idx="59">
                  <c:v>41.340598004074629</c:v>
                </c:pt>
                <c:pt idx="60">
                  <c:v>41.92332000414369</c:v>
                </c:pt>
                <c:pt idx="61">
                  <c:v>42.506042004212759</c:v>
                </c:pt>
                <c:pt idx="62">
                  <c:v>43.088764004281821</c:v>
                </c:pt>
                <c:pt idx="63">
                  <c:v>43.671486004350875</c:v>
                </c:pt>
                <c:pt idx="64">
                  <c:v>44.254208004419937</c:v>
                </c:pt>
                <c:pt idx="65">
                  <c:v>44.836930004489005</c:v>
                </c:pt>
                <c:pt idx="66">
                  <c:v>45.419652004558067</c:v>
                </c:pt>
                <c:pt idx="67">
                  <c:v>46.002374004627114</c:v>
                </c:pt>
                <c:pt idx="68">
                  <c:v>46.58509600469619</c:v>
                </c:pt>
                <c:pt idx="69">
                  <c:v>47.167818004765245</c:v>
                </c:pt>
                <c:pt idx="70">
                  <c:v>47.750540004834299</c:v>
                </c:pt>
                <c:pt idx="71">
                  <c:v>48.333262004903361</c:v>
                </c:pt>
                <c:pt idx="72">
                  <c:v>48.915984004972429</c:v>
                </c:pt>
                <c:pt idx="73">
                  <c:v>49.498706005041491</c:v>
                </c:pt>
                <c:pt idx="74">
                  <c:v>50.081428005110553</c:v>
                </c:pt>
                <c:pt idx="75">
                  <c:v>50.664150005179636</c:v>
                </c:pt>
                <c:pt idx="76">
                  <c:v>51.246872005248683</c:v>
                </c:pt>
                <c:pt idx="77">
                  <c:v>51.829594005317745</c:v>
                </c:pt>
                <c:pt idx="78">
                  <c:v>52.412316005386799</c:v>
                </c:pt>
                <c:pt idx="79">
                  <c:v>52.995038005455875</c:v>
                </c:pt>
                <c:pt idx="80">
                  <c:v>53.577760005524937</c:v>
                </c:pt>
                <c:pt idx="81">
                  <c:v>54.160482005593991</c:v>
                </c:pt>
                <c:pt idx="82">
                  <c:v>54.743204005663053</c:v>
                </c:pt>
                <c:pt idx="83">
                  <c:v>55.325926005732107</c:v>
                </c:pt>
                <c:pt idx="84">
                  <c:v>55.908648005801176</c:v>
                </c:pt>
                <c:pt idx="85">
                  <c:v>56.491370005870237</c:v>
                </c:pt>
                <c:pt idx="86">
                  <c:v>57.074092005939299</c:v>
                </c:pt>
                <c:pt idx="87">
                  <c:v>57.656814006008361</c:v>
                </c:pt>
                <c:pt idx="88">
                  <c:v>58.239536006077415</c:v>
                </c:pt>
                <c:pt idx="89">
                  <c:v>58.822258006146484</c:v>
                </c:pt>
                <c:pt idx="90">
                  <c:v>59.404980006215546</c:v>
                </c:pt>
                <c:pt idx="91">
                  <c:v>59.987702006284607</c:v>
                </c:pt>
                <c:pt idx="92">
                  <c:v>60.570424006353669</c:v>
                </c:pt>
                <c:pt idx="93">
                  <c:v>61.153146006422737</c:v>
                </c:pt>
                <c:pt idx="94">
                  <c:v>61.735868006491785</c:v>
                </c:pt>
                <c:pt idx="95">
                  <c:v>62.318590006560846</c:v>
                </c:pt>
                <c:pt idx="96">
                  <c:v>62.901312006629894</c:v>
                </c:pt>
                <c:pt idx="97">
                  <c:v>63.48403400669897</c:v>
                </c:pt>
                <c:pt idx="98">
                  <c:v>64.066756006768031</c:v>
                </c:pt>
                <c:pt idx="99">
                  <c:v>64.649478006837086</c:v>
                </c:pt>
                <c:pt idx="100">
                  <c:v>65.23220000690614</c:v>
                </c:pt>
              </c:numCache>
            </c:numRef>
          </c:val>
          <c:smooth val="0"/>
          <c:extLst>
            <c:ext xmlns:c16="http://schemas.microsoft.com/office/drawing/2014/chart" uri="{C3380CC4-5D6E-409C-BE32-E72D297353CC}">
              <c16:uniqueId val="{00000002-45D7-4776-A24B-D0CB2F76999D}"/>
            </c:ext>
          </c:extLst>
        </c:ser>
        <c:ser>
          <c:idx val="1"/>
          <c:order val="3"/>
          <c:tx>
            <c:strRef>
              <c:f>'Calculations - Single'!$BQ$3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Single'!$BU$5:$BU$105</c:f>
              <c:numCache>
                <c:formatCode>0.0</c:formatCode>
                <c:ptCount val="101"/>
                <c:pt idx="0">
                  <c:v>4.7607936065300196</c:v>
                </c:pt>
                <c:pt idx="1">
                  <c:v>4.7607936065300196</c:v>
                </c:pt>
                <c:pt idx="2">
                  <c:v>4.7607936065300196</c:v>
                </c:pt>
                <c:pt idx="3">
                  <c:v>4.7607936065300196</c:v>
                </c:pt>
                <c:pt idx="4">
                  <c:v>4.8720404025562294</c:v>
                </c:pt>
                <c:pt idx="5">
                  <c:v>5.1093698967333356</c:v>
                </c:pt>
                <c:pt idx="6">
                  <c:v>5.3469554846136065</c:v>
                </c:pt>
                <c:pt idx="7">
                  <c:v>5.5848216811974227</c:v>
                </c:pt>
                <c:pt idx="8">
                  <c:v>5.8229910166673653</c:v>
                </c:pt>
                <c:pt idx="9">
                  <c:v>6.0614844536916666</c:v>
                </c:pt>
                <c:pt idx="10">
                  <c:v>6.3003216759020972</c:v>
                </c:pt>
                <c:pt idx="11">
                  <c:v>6.5395212972804337</c:v>
                </c:pt>
                <c:pt idx="12">
                  <c:v>6.7791010198898443</c:v>
                </c:pt>
                <c:pt idx="13">
                  <c:v>7.019077756227678</c:v>
                </c:pt>
                <c:pt idx="14">
                  <c:v>7.2594677264146874</c:v>
                </c:pt>
                <c:pt idx="15">
                  <c:v>7.5002865369265868</c:v>
                </c:pt>
                <c:pt idx="16">
                  <c:v>7.7415492454356931</c:v>
                </c:pt>
                <c:pt idx="17">
                  <c:v>7.9832704149711935</c:v>
                </c:pt>
                <c:pt idx="18">
                  <c:v>8.2254641597117448</c:v>
                </c:pt>
                <c:pt idx="19">
                  <c:v>8.4681441841166745</c:v>
                </c:pt>
                <c:pt idx="20">
                  <c:v>8.7113238166788634</c:v>
                </c:pt>
                <c:pt idx="21">
                  <c:v>8.9550160392811851</c:v>
                </c:pt>
                <c:pt idx="22">
                  <c:v>9.1992335129189655</c:v>
                </c:pt>
                <c:pt idx="23">
                  <c:v>9.4439886003889342</c:v>
                </c:pt>
                <c:pt idx="24">
                  <c:v>9.689293386423298</c:v>
                </c:pt>
                <c:pt idx="25">
                  <c:v>9.9351596956544697</c:v>
                </c:pt>
                <c:pt idx="26">
                  <c:v>10.181599108724376</c:v>
                </c:pt>
                <c:pt idx="27">
                  <c:v>10.428622976796079</c:v>
                </c:pt>
                <c:pt idx="28">
                  <c:v>10.676242434681189</c:v>
                </c:pt>
                <c:pt idx="29">
                  <c:v>10.924468412761158</c:v>
                </c:pt>
                <c:pt idx="30">
                  <c:v>11.173311647852229</c:v>
                </c:pt>
                <c:pt idx="31">
                  <c:v>11.42278269314051</c:v>
                </c:pt>
                <c:pt idx="32">
                  <c:v>11.672891927295098</c:v>
                </c:pt>
                <c:pt idx="33">
                  <c:v>11.923649562851299</c:v>
                </c:pt>
                <c:pt idx="34">
                  <c:v>12.175065653943339</c:v>
                </c:pt>
                <c:pt idx="35">
                  <c:v>12.427150103455118</c:v>
                </c:pt>
                <c:pt idx="36">
                  <c:v>12.679912669648511</c:v>
                </c:pt>
                <c:pt idx="37">
                  <c:v>12.933362972321211</c:v>
                </c:pt>
                <c:pt idx="38">
                  <c:v>13.187510498539522</c:v>
                </c:pt>
                <c:pt idx="39">
                  <c:v>13.442364607986118</c:v>
                </c:pt>
                <c:pt idx="40">
                  <c:v>13.697934537958023</c:v>
                </c:pt>
                <c:pt idx="41">
                  <c:v>13.954229408046038</c:v>
                </c:pt>
                <c:pt idx="42">
                  <c:v>14.211258224523311</c:v>
                </c:pt>
                <c:pt idx="43">
                  <c:v>14.469029884467783</c:v>
                </c:pt>
                <c:pt idx="44">
                  <c:v>14.727553179640561</c:v>
                </c:pt>
                <c:pt idx="45">
                  <c:v>14.986836800139962</c:v>
                </c:pt>
                <c:pt idx="46">
                  <c:v>15.246889337849034</c:v>
                </c:pt>
                <c:pt idx="47">
                  <c:v>15.507719289692471</c:v>
                </c:pt>
                <c:pt idx="48">
                  <c:v>15.769335060717436</c:v>
                </c:pt>
                <c:pt idx="49">
                  <c:v>16.031744967011257</c:v>
                </c:pt>
                <c:pt idx="50">
                  <c:v>16.294957238467887</c:v>
                </c:pt>
                <c:pt idx="51">
                  <c:v>16.558980021413934</c:v>
                </c:pt>
                <c:pt idx="52">
                  <c:v>16.823821381103876</c:v>
                </c:pt>
                <c:pt idx="53">
                  <c:v>17.08948930409364</c:v>
                </c:pt>
                <c:pt idx="54">
                  <c:v>17.355991700500425</c:v>
                </c:pt>
                <c:pt idx="55">
                  <c:v>17.623336406156557</c:v>
                </c:pt>
                <c:pt idx="56">
                  <c:v>17.891531184663886</c:v>
                </c:pt>
                <c:pt idx="57">
                  <c:v>18.160583729355313</c:v>
                </c:pt>
                <c:pt idx="58">
                  <c:v>18.430501665169071</c:v>
                </c:pt>
                <c:pt idx="59">
                  <c:v>18.701292550441092</c:v>
                </c:pt>
                <c:pt idx="60">
                  <c:v>18.972963878620494</c:v>
                </c:pt>
                <c:pt idx="61">
                  <c:v>19.245523079912626</c:v>
                </c:pt>
                <c:pt idx="62">
                  <c:v>19.518977522853902</c:v>
                </c:pt>
                <c:pt idx="63">
                  <c:v>19.793334515822391</c:v>
                </c:pt>
                <c:pt idx="64">
                  <c:v>20.068601308487658</c:v>
                </c:pt>
                <c:pt idx="65">
                  <c:v>20.344785093203345</c:v>
                </c:pt>
                <c:pt idx="66">
                  <c:v>20.621893006345502</c:v>
                </c:pt>
                <c:pt idx="67">
                  <c:v>20.899932129599673</c:v>
                </c:pt>
                <c:pt idx="68">
                  <c:v>21.17890949119937</c:v>
                </c:pt>
                <c:pt idx="69">
                  <c:v>21.458832067118497</c:v>
                </c:pt>
                <c:pt idx="70">
                  <c:v>21.739706782220111</c:v>
                </c:pt>
                <c:pt idx="71">
                  <c:v>22.021540511363664</c:v>
                </c:pt>
                <c:pt idx="72">
                  <c:v>22.304340080472898</c:v>
                </c:pt>
                <c:pt idx="73">
                  <c:v>22.588112267566167</c:v>
                </c:pt>
                <c:pt idx="74">
                  <c:v>22.872863803751187</c:v>
                </c:pt>
                <c:pt idx="75">
                  <c:v>23.158601374185789</c:v>
                </c:pt>
                <c:pt idx="76">
                  <c:v>23.445331619006296</c:v>
                </c:pt>
                <c:pt idx="77">
                  <c:v>23.733061134225153</c:v>
                </c:pt>
                <c:pt idx="78">
                  <c:v>24.02179647259895</c:v>
                </c:pt>
                <c:pt idx="79">
                  <c:v>24.311544144468524</c:v>
                </c:pt>
                <c:pt idx="80">
                  <c:v>24.602310618572091</c:v>
                </c:pt>
                <c:pt idx="81">
                  <c:v>24.89410232283279</c:v>
                </c:pt>
                <c:pt idx="82">
                  <c:v>25.186925645121665</c:v>
                </c:pt>
                <c:pt idx="83">
                  <c:v>25.48078693399717</c:v>
                </c:pt>
                <c:pt idx="84">
                  <c:v>25.775692499422206</c:v>
                </c:pt>
                <c:pt idx="85">
                  <c:v>26.071648613459583</c:v>
                </c:pt>
                <c:pt idx="86">
                  <c:v>26.36866151094689</c:v>
                </c:pt>
                <c:pt idx="87">
                  <c:v>26.666737390151546</c:v>
                </c:pt>
                <c:pt idx="88">
                  <c:v>26.965882413406867</c:v>
                </c:pt>
                <c:pt idx="89">
                  <c:v>27.266102707729907</c:v>
                </c:pt>
                <c:pt idx="90">
                  <c:v>27.567404365421773</c:v>
                </c:pt>
                <c:pt idx="91">
                  <c:v>27.869793444651162</c:v>
                </c:pt>
                <c:pt idx="92">
                  <c:v>28.173275970021699</c:v>
                </c:pt>
                <c:pt idx="93">
                  <c:v>28.477857933123754</c:v>
                </c:pt>
                <c:pt idx="94">
                  <c:v>28.783545293071246</c:v>
                </c:pt>
                <c:pt idx="95">
                  <c:v>29.090343977024183</c:v>
                </c:pt>
                <c:pt idx="96">
                  <c:v>29.398259880697132</c:v>
                </c:pt>
                <c:pt idx="97">
                  <c:v>29.7072988688546</c:v>
                </c:pt>
                <c:pt idx="98">
                  <c:v>30.017466775793302</c:v>
                </c:pt>
                <c:pt idx="99">
                  <c:v>30.328769405812153</c:v>
                </c:pt>
                <c:pt idx="100">
                  <c:v>30.641212533670391</c:v>
                </c:pt>
              </c:numCache>
            </c:numRef>
          </c:val>
          <c:smooth val="0"/>
          <c:extLst>
            <c:ext xmlns:c16="http://schemas.microsoft.com/office/drawing/2014/chart" uri="{C3380CC4-5D6E-409C-BE32-E72D297353CC}">
              <c16:uniqueId val="{00000003-45D7-4776-A24B-D0CB2F76999D}"/>
            </c:ext>
          </c:extLst>
        </c:ser>
        <c:dLbls>
          <c:showLegendKey val="0"/>
          <c:showVal val="0"/>
          <c:showCatName val="0"/>
          <c:showSerName val="0"/>
          <c:showPercent val="0"/>
          <c:showBubbleSize val="0"/>
        </c:dLbls>
        <c:marker val="1"/>
        <c:smooth val="0"/>
        <c:axId val="144235520"/>
        <c:axId val="144233600"/>
      </c:lineChart>
      <c:catAx>
        <c:axId val="144225408"/>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cs-CZ"/>
          </a:p>
        </c:txPr>
        <c:crossAx val="144227328"/>
        <c:crosses val="autoZero"/>
        <c:auto val="1"/>
        <c:lblAlgn val="ctr"/>
        <c:lblOffset val="100"/>
        <c:tickLblSkip val="20"/>
        <c:tickMarkSkip val="20"/>
        <c:noMultiLvlLbl val="0"/>
      </c:catAx>
      <c:valAx>
        <c:axId val="144227328"/>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cs-CZ"/>
          </a:p>
        </c:txPr>
        <c:crossAx val="144225408"/>
        <c:crossesAt val="0"/>
        <c:crossBetween val="between"/>
        <c:majorUnit val="5"/>
        <c:minorUnit val="2.5"/>
      </c:valAx>
      <c:valAx>
        <c:axId val="144233600"/>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cs-CZ"/>
          </a:p>
        </c:txPr>
        <c:crossAx val="144235520"/>
        <c:crosses val="max"/>
        <c:crossBetween val="between"/>
      </c:valAx>
      <c:catAx>
        <c:axId val="144235520"/>
        <c:scaling>
          <c:orientation val="minMax"/>
        </c:scaling>
        <c:delete val="1"/>
        <c:axPos val="b"/>
        <c:numFmt formatCode="General" sourceLinked="1"/>
        <c:majorTickMark val="out"/>
        <c:minorTickMark val="none"/>
        <c:tickLblPos val="nextTo"/>
        <c:crossAx val="14423360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cs-CZ"/>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cs-CZ"/>
    </a:p>
  </c:txPr>
  <c:printSettings>
    <c:headerFooter alignWithMargins="0"/>
    <c:pageMargins b="1" l="0.750000000000006" r="0.750000000000006" t="1" header="0.5" footer="0.5"/>
    <c:pageSetup paperSize="5"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Dual'!$BY$5:$BY$105</c:f>
              <c:numCache>
                <c:formatCode>0.00</c:formatCode>
                <c:ptCount val="101"/>
                <c:pt idx="0">
                  <c:v>2.0234541622232013E-4</c:v>
                </c:pt>
                <c:pt idx="1">
                  <c:v>65.485001105735464</c:v>
                </c:pt>
                <c:pt idx="2">
                  <c:v>74.479984692250696</c:v>
                </c:pt>
                <c:pt idx="3">
                  <c:v>77.932653583133956</c:v>
                </c:pt>
                <c:pt idx="4">
                  <c:v>79.778767922353225</c:v>
                </c:pt>
                <c:pt idx="5">
                  <c:v>80.926065171542433</c:v>
                </c:pt>
                <c:pt idx="6">
                  <c:v>81.706628111588316</c:v>
                </c:pt>
                <c:pt idx="7">
                  <c:v>82.270778516816051</c:v>
                </c:pt>
                <c:pt idx="8">
                  <c:v>82.696473260422437</c:v>
                </c:pt>
                <c:pt idx="9">
                  <c:v>83.028177414145404</c:v>
                </c:pt>
                <c:pt idx="10">
                  <c:v>83.293109208656077</c:v>
                </c:pt>
                <c:pt idx="11">
                  <c:v>83.508865242599654</c:v>
                </c:pt>
                <c:pt idx="12">
                  <c:v>83.687328519464018</c:v>
                </c:pt>
                <c:pt idx="13">
                  <c:v>83.836814592466496</c:v>
                </c:pt>
                <c:pt idx="14">
                  <c:v>83.963317804146371</c:v>
                </c:pt>
                <c:pt idx="15">
                  <c:v>84.071269119755527</c:v>
                </c:pt>
                <c:pt idx="16">
                  <c:v>84.16401518782358</c:v>
                </c:pt>
                <c:pt idx="17">
                  <c:v>84.244131366324766</c:v>
                </c:pt>
                <c:pt idx="18">
                  <c:v>84.313632190950443</c:v>
                </c:pt>
                <c:pt idx="19">
                  <c:v>84.374116462451013</c:v>
                </c:pt>
                <c:pt idx="20">
                  <c:v>84.426869485639315</c:v>
                </c:pt>
                <c:pt idx="21">
                  <c:v>84.472936533563754</c:v>
                </c:pt>
                <c:pt idx="22">
                  <c:v>84.513176563898654</c:v>
                </c:pt>
                <c:pt idx="23">
                  <c:v>84.548302116644038</c:v>
                </c:pt>
                <c:pt idx="24">
                  <c:v>84.578909371203096</c:v>
                </c:pt>
                <c:pt idx="25">
                  <c:v>84.605501083644825</c:v>
                </c:pt>
                <c:pt idx="26">
                  <c:v>84.628504297762461</c:v>
                </c:pt>
                <c:pt idx="27">
                  <c:v>84.64828416893144</c:v>
                </c:pt>
                <c:pt idx="28">
                  <c:v>84.665154861464472</c:v>
                </c:pt>
                <c:pt idx="29">
                  <c:v>84.679388218008384</c:v>
                </c:pt>
                <c:pt idx="30">
                  <c:v>84.691220715205631</c:v>
                </c:pt>
                <c:pt idx="31">
                  <c:v>84.700859088497424</c:v>
                </c:pt>
                <c:pt idx="32">
                  <c:v>84.708484914179337</c:v>
                </c:pt>
                <c:pt idx="33">
                  <c:v>84.714258367653784</c:v>
                </c:pt>
                <c:pt idx="34">
                  <c:v>84.718321325796666</c:v>
                </c:pt>
                <c:pt idx="35">
                  <c:v>84.72079994333059</c:v>
                </c:pt>
                <c:pt idx="36">
                  <c:v>84.721806804494733</c:v>
                </c:pt>
                <c:pt idx="37">
                  <c:v>84.850002344615348</c:v>
                </c:pt>
                <c:pt idx="38">
                  <c:v>85.126922461902751</c:v>
                </c:pt>
                <c:pt idx="39">
                  <c:v>85.254278997398657</c:v>
                </c:pt>
                <c:pt idx="40">
                  <c:v>85.375544385851228</c:v>
                </c:pt>
                <c:pt idx="41">
                  <c:v>85.491509163288441</c:v>
                </c:pt>
                <c:pt idx="42">
                  <c:v>85.602518095967397</c:v>
                </c:pt>
                <c:pt idx="43">
                  <c:v>85.70888630109765</c:v>
                </c:pt>
                <c:pt idx="44">
                  <c:v>85.810902391650885</c:v>
                </c:pt>
                <c:pt idx="45">
                  <c:v>85.908831227201645</c:v>
                </c:pt>
                <c:pt idx="46">
                  <c:v>86.002916327401508</c:v>
                </c:pt>
                <c:pt idx="47">
                  <c:v>86.093381995559511</c:v>
                </c:pt>
                <c:pt idx="48">
                  <c:v>86.180435192297523</c:v>
                </c:pt>
                <c:pt idx="49">
                  <c:v>86.264267193057094</c:v>
                </c:pt>
                <c:pt idx="50">
                  <c:v>86.345055058103171</c:v>
                </c:pt>
                <c:pt idx="51">
                  <c:v>86.422962939400634</c:v>
                </c:pt>
                <c:pt idx="52">
                  <c:v>86.498143245174489</c:v>
                </c:pt>
                <c:pt idx="53">
                  <c:v>86.570737679977142</c:v>
                </c:pt>
                <c:pt idx="54">
                  <c:v>86.640878175573008</c:v>
                </c:pt>
                <c:pt idx="55">
                  <c:v>86.708687725830728</c:v>
                </c:pt>
                <c:pt idx="56">
                  <c:v>86.774281137017553</c:v>
                </c:pt>
                <c:pt idx="57">
                  <c:v>86.837765703367438</c:v>
                </c:pt>
                <c:pt idx="58">
                  <c:v>86.899241816494822</c:v>
                </c:pt>
                <c:pt idx="59">
                  <c:v>86.958803516118493</c:v>
                </c:pt>
                <c:pt idx="60">
                  <c:v>87.016538988609398</c:v>
                </c:pt>
                <c:pt idx="61">
                  <c:v>87.072531019060918</c:v>
                </c:pt>
                <c:pt idx="62">
                  <c:v>87.126857401878169</c:v>
                </c:pt>
                <c:pt idx="63">
                  <c:v>87.179591314276053</c:v>
                </c:pt>
                <c:pt idx="64">
                  <c:v>87.230801656551733</c:v>
                </c:pt>
                <c:pt idx="65">
                  <c:v>87.280553362542406</c:v>
                </c:pt>
                <c:pt idx="66">
                  <c:v>87.328907683283205</c:v>
                </c:pt>
                <c:pt idx="67">
                  <c:v>87.375922446536464</c:v>
                </c:pt>
                <c:pt idx="68">
                  <c:v>87.421652294561895</c:v>
                </c:pt>
                <c:pt idx="69">
                  <c:v>87.466148902234906</c:v>
                </c:pt>
                <c:pt idx="70">
                  <c:v>87.509461177389284</c:v>
                </c:pt>
                <c:pt idx="71">
                  <c:v>87.551635445057968</c:v>
                </c:pt>
                <c:pt idx="72">
                  <c:v>87.592715617107459</c:v>
                </c:pt>
                <c:pt idx="73">
                  <c:v>87.632743348604365</c:v>
                </c:pt>
                <c:pt idx="74">
                  <c:v>87.671758182113635</c:v>
                </c:pt>
                <c:pt idx="75">
                  <c:v>87.709797681005696</c:v>
                </c:pt>
                <c:pt idx="76">
                  <c:v>87.746897552740251</c:v>
                </c:pt>
                <c:pt idx="77">
                  <c:v>87.783091762999035</c:v>
                </c:pt>
                <c:pt idx="78">
                  <c:v>87.818412641452596</c:v>
                </c:pt>
                <c:pt idx="79">
                  <c:v>87.872924697476236</c:v>
                </c:pt>
                <c:pt idx="80">
                  <c:v>88.01404492276933</c:v>
                </c:pt>
                <c:pt idx="81">
                  <c:v>88.151153109876063</c:v>
                </c:pt>
                <c:pt idx="82">
                  <c:v>88.284407787316539</c:v>
                </c:pt>
                <c:pt idx="83">
                  <c:v>88.413959598355689</c:v>
                </c:pt>
                <c:pt idx="84">
                  <c:v>88.539951768270612</c:v>
                </c:pt>
                <c:pt idx="85">
                  <c:v>87.671971491167199</c:v>
                </c:pt>
                <c:pt idx="86">
                  <c:v>87.733478248730876</c:v>
                </c:pt>
                <c:pt idx="87">
                  <c:v>87.793170275542394</c:v>
                </c:pt>
                <c:pt idx="88">
                  <c:v>87.851116038622266</c:v>
                </c:pt>
                <c:pt idx="89">
                  <c:v>87.907380691652904</c:v>
                </c:pt>
                <c:pt idx="90">
                  <c:v>87.962026268997178</c:v>
                </c:pt>
                <c:pt idx="91">
                  <c:v>88.01511186647015</c:v>
                </c:pt>
                <c:pt idx="92">
                  <c:v>88.06669380989193</c:v>
                </c:pt>
                <c:pt idx="93">
                  <c:v>88.116825812360716</c:v>
                </c:pt>
                <c:pt idx="94">
                  <c:v>88.165559121104309</c:v>
                </c:pt>
                <c:pt idx="95">
                  <c:v>88.212942654695823</c:v>
                </c:pt>
                <c:pt idx="96">
                  <c:v>88.259023131352862</c:v>
                </c:pt>
                <c:pt idx="97">
                  <c:v>88.303845188979594</c:v>
                </c:pt>
                <c:pt idx="98">
                  <c:v>88.347451497557046</c:v>
                </c:pt>
                <c:pt idx="99">
                  <c:v>88.389882864436458</c:v>
                </c:pt>
                <c:pt idx="100">
                  <c:v>88.431178333046788</c:v>
                </c:pt>
              </c:numCache>
            </c:numRef>
          </c:val>
          <c:smooth val="0"/>
          <c:extLst>
            <c:ext xmlns:c16="http://schemas.microsoft.com/office/drawing/2014/chart" uri="{C3380CC4-5D6E-409C-BE32-E72D297353CC}">
              <c16:uniqueId val="{00000000-5C53-4025-A8F9-CC7E2198D347}"/>
            </c:ext>
          </c:extLst>
        </c:ser>
        <c:dLbls>
          <c:showLegendKey val="0"/>
          <c:showVal val="0"/>
          <c:showCatName val="0"/>
          <c:showSerName val="0"/>
          <c:showPercent val="0"/>
          <c:showBubbleSize val="0"/>
        </c:dLbls>
        <c:marker val="1"/>
        <c:smooth val="0"/>
        <c:axId val="145004800"/>
        <c:axId val="145019264"/>
      </c:lineChart>
      <c:lineChart>
        <c:grouping val="standard"/>
        <c:varyColors val="0"/>
        <c:ser>
          <c:idx val="2"/>
          <c:order val="1"/>
          <c:tx>
            <c:strRef>
              <c:f>'Calculations - Dual'!$BK$3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6.9999999999999997E-7</c:v>
                </c:pt>
                <c:pt idx="1">
                  <c:v>0.7</c:v>
                </c:pt>
                <c:pt idx="2">
                  <c:v>1.4</c:v>
                </c:pt>
                <c:pt idx="3">
                  <c:v>2.1</c:v>
                </c:pt>
                <c:pt idx="4">
                  <c:v>2.8</c:v>
                </c:pt>
                <c:pt idx="5">
                  <c:v>3.5000000000000004</c:v>
                </c:pt>
                <c:pt idx="6">
                  <c:v>4.2</c:v>
                </c:pt>
                <c:pt idx="7">
                  <c:v>4.9000000000000004</c:v>
                </c:pt>
                <c:pt idx="8">
                  <c:v>5.6</c:v>
                </c:pt>
                <c:pt idx="9">
                  <c:v>6.2999999999999989</c:v>
                </c:pt>
                <c:pt idx="10">
                  <c:v>7.0000000000000009</c:v>
                </c:pt>
                <c:pt idx="11">
                  <c:v>7.7</c:v>
                </c:pt>
                <c:pt idx="12">
                  <c:v>8.4</c:v>
                </c:pt>
                <c:pt idx="13">
                  <c:v>9.1</c:v>
                </c:pt>
                <c:pt idx="14">
                  <c:v>9.8000000000000007</c:v>
                </c:pt>
                <c:pt idx="15">
                  <c:v>10.499999999999998</c:v>
                </c:pt>
                <c:pt idx="16">
                  <c:v>11.2</c:v>
                </c:pt>
                <c:pt idx="17">
                  <c:v>11.9</c:v>
                </c:pt>
                <c:pt idx="18">
                  <c:v>12.599999999999998</c:v>
                </c:pt>
                <c:pt idx="19">
                  <c:v>13.3</c:v>
                </c:pt>
                <c:pt idx="20">
                  <c:v>14.000000000000002</c:v>
                </c:pt>
                <c:pt idx="21">
                  <c:v>14.7</c:v>
                </c:pt>
                <c:pt idx="22">
                  <c:v>15.4</c:v>
                </c:pt>
                <c:pt idx="23">
                  <c:v>16.100000000000001</c:v>
                </c:pt>
                <c:pt idx="24">
                  <c:v>16.8</c:v>
                </c:pt>
                <c:pt idx="25">
                  <c:v>17.499999999999996</c:v>
                </c:pt>
                <c:pt idx="26">
                  <c:v>18.2</c:v>
                </c:pt>
                <c:pt idx="27">
                  <c:v>18.899999999999999</c:v>
                </c:pt>
                <c:pt idx="28">
                  <c:v>19.600000000000001</c:v>
                </c:pt>
                <c:pt idx="29">
                  <c:v>20.299999999999997</c:v>
                </c:pt>
                <c:pt idx="30">
                  <c:v>20.999999999999996</c:v>
                </c:pt>
                <c:pt idx="31">
                  <c:v>21.699999999999996</c:v>
                </c:pt>
                <c:pt idx="32">
                  <c:v>22.4</c:v>
                </c:pt>
                <c:pt idx="33">
                  <c:v>23.099999999999998</c:v>
                </c:pt>
                <c:pt idx="34">
                  <c:v>23.8</c:v>
                </c:pt>
                <c:pt idx="35">
                  <c:v>24.499999999999996</c:v>
                </c:pt>
                <c:pt idx="36">
                  <c:v>25.199999999999996</c:v>
                </c:pt>
                <c:pt idx="37">
                  <c:v>25.899999999999995</c:v>
                </c:pt>
                <c:pt idx="38">
                  <c:v>26.6</c:v>
                </c:pt>
                <c:pt idx="39">
                  <c:v>27.300000000000004</c:v>
                </c:pt>
                <c:pt idx="40">
                  <c:v>28.000000000000004</c:v>
                </c:pt>
                <c:pt idx="41">
                  <c:v>28.7</c:v>
                </c:pt>
                <c:pt idx="42">
                  <c:v>29.4</c:v>
                </c:pt>
                <c:pt idx="43">
                  <c:v>30.1</c:v>
                </c:pt>
                <c:pt idx="44">
                  <c:v>30.8</c:v>
                </c:pt>
                <c:pt idx="45">
                  <c:v>31.5</c:v>
                </c:pt>
                <c:pt idx="46">
                  <c:v>32.200000000000003</c:v>
                </c:pt>
                <c:pt idx="47">
                  <c:v>32.9</c:v>
                </c:pt>
                <c:pt idx="48">
                  <c:v>33.6</c:v>
                </c:pt>
                <c:pt idx="49">
                  <c:v>34.299999999999997</c:v>
                </c:pt>
                <c:pt idx="50">
                  <c:v>34.999999999999993</c:v>
                </c:pt>
                <c:pt idx="51">
                  <c:v>35.700000000000003</c:v>
                </c:pt>
                <c:pt idx="52">
                  <c:v>36.4</c:v>
                </c:pt>
                <c:pt idx="53">
                  <c:v>37.1</c:v>
                </c:pt>
                <c:pt idx="54">
                  <c:v>37.799999999999997</c:v>
                </c:pt>
                <c:pt idx="55">
                  <c:v>38.5</c:v>
                </c:pt>
                <c:pt idx="56">
                  <c:v>39.200000000000003</c:v>
                </c:pt>
                <c:pt idx="57">
                  <c:v>39.899999999999991</c:v>
                </c:pt>
                <c:pt idx="58">
                  <c:v>40.599999999999994</c:v>
                </c:pt>
                <c:pt idx="59">
                  <c:v>41.3</c:v>
                </c:pt>
                <c:pt idx="60">
                  <c:v>41.999999999999993</c:v>
                </c:pt>
                <c:pt idx="61">
                  <c:v>42.699999999999996</c:v>
                </c:pt>
                <c:pt idx="62">
                  <c:v>43.399999999999991</c:v>
                </c:pt>
                <c:pt idx="63">
                  <c:v>44.1</c:v>
                </c:pt>
                <c:pt idx="64">
                  <c:v>44.8</c:v>
                </c:pt>
                <c:pt idx="65">
                  <c:v>45.5</c:v>
                </c:pt>
                <c:pt idx="66">
                  <c:v>46.199999999999996</c:v>
                </c:pt>
                <c:pt idx="67">
                  <c:v>46.9</c:v>
                </c:pt>
                <c:pt idx="68">
                  <c:v>47.6</c:v>
                </c:pt>
                <c:pt idx="69">
                  <c:v>48.29999999999999</c:v>
                </c:pt>
                <c:pt idx="70">
                  <c:v>48.999999999999993</c:v>
                </c:pt>
                <c:pt idx="71">
                  <c:v>49.699999999999996</c:v>
                </c:pt>
                <c:pt idx="72">
                  <c:v>50.399999999999991</c:v>
                </c:pt>
                <c:pt idx="73">
                  <c:v>51.099999999999994</c:v>
                </c:pt>
                <c:pt idx="74">
                  <c:v>51.79999999999999</c:v>
                </c:pt>
                <c:pt idx="75">
                  <c:v>52.500000000000007</c:v>
                </c:pt>
                <c:pt idx="76">
                  <c:v>53.2</c:v>
                </c:pt>
                <c:pt idx="77">
                  <c:v>53.900000000000006</c:v>
                </c:pt>
                <c:pt idx="78">
                  <c:v>54.600000000000009</c:v>
                </c:pt>
                <c:pt idx="79">
                  <c:v>55.300000000000011</c:v>
                </c:pt>
                <c:pt idx="80">
                  <c:v>56.000000000000007</c:v>
                </c:pt>
                <c:pt idx="81">
                  <c:v>56.70000000000001</c:v>
                </c:pt>
                <c:pt idx="82">
                  <c:v>57.4</c:v>
                </c:pt>
                <c:pt idx="83">
                  <c:v>58.1</c:v>
                </c:pt>
                <c:pt idx="84">
                  <c:v>58.8</c:v>
                </c:pt>
                <c:pt idx="85">
                  <c:v>59.5</c:v>
                </c:pt>
                <c:pt idx="86">
                  <c:v>60.2</c:v>
                </c:pt>
                <c:pt idx="87">
                  <c:v>60.900000000000006</c:v>
                </c:pt>
                <c:pt idx="88">
                  <c:v>61.6</c:v>
                </c:pt>
                <c:pt idx="89">
                  <c:v>62.300000000000004</c:v>
                </c:pt>
                <c:pt idx="90">
                  <c:v>63</c:v>
                </c:pt>
                <c:pt idx="91">
                  <c:v>63.70000000000001</c:v>
                </c:pt>
                <c:pt idx="92">
                  <c:v>64.400000000000006</c:v>
                </c:pt>
                <c:pt idx="93">
                  <c:v>65.100000000000009</c:v>
                </c:pt>
                <c:pt idx="94">
                  <c:v>65.8</c:v>
                </c:pt>
                <c:pt idx="95">
                  <c:v>66.499999999999986</c:v>
                </c:pt>
                <c:pt idx="96">
                  <c:v>67.2</c:v>
                </c:pt>
                <c:pt idx="97">
                  <c:v>67.900000000000006</c:v>
                </c:pt>
                <c:pt idx="98">
                  <c:v>68.599999999999994</c:v>
                </c:pt>
                <c:pt idx="99">
                  <c:v>69.3</c:v>
                </c:pt>
                <c:pt idx="100">
                  <c:v>69.999999999999986</c:v>
                </c:pt>
              </c:numCache>
            </c:numRef>
          </c:val>
          <c:smooth val="0"/>
          <c:extLst>
            <c:ext xmlns:c16="http://schemas.microsoft.com/office/drawing/2014/chart" uri="{C3380CC4-5D6E-409C-BE32-E72D297353CC}">
              <c16:uniqueId val="{00000001-5C53-4025-A8F9-CC7E2198D347}"/>
            </c:ext>
          </c:extLst>
        </c:ser>
        <c:ser>
          <c:idx val="3"/>
          <c:order val="2"/>
          <c:tx>
            <c:strRef>
              <c:f>'Calculations - Dual'!$BE$3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Dual'!$BJ$5:$BJ$105</c:f>
              <c:numCache>
                <c:formatCode>0.0</c:formatCode>
                <c:ptCount val="101"/>
                <c:pt idx="0">
                  <c:v>9.0175424513888895</c:v>
                </c:pt>
                <c:pt idx="1">
                  <c:v>9.0175424513888895</c:v>
                </c:pt>
                <c:pt idx="2">
                  <c:v>10.900310667133654</c:v>
                </c:pt>
                <c:pt idx="3">
                  <c:v>12.87046600070048</c:v>
                </c:pt>
                <c:pt idx="4">
                  <c:v>14.840621334267306</c:v>
                </c:pt>
                <c:pt idx="5">
                  <c:v>16.810776667834137</c:v>
                </c:pt>
                <c:pt idx="6">
                  <c:v>18.780932001400959</c:v>
                </c:pt>
                <c:pt idx="7">
                  <c:v>20.751087334967792</c:v>
                </c:pt>
                <c:pt idx="8">
                  <c:v>22.721242668534614</c:v>
                </c:pt>
                <c:pt idx="9">
                  <c:v>24.69139800210144</c:v>
                </c:pt>
                <c:pt idx="10">
                  <c:v>26.661553335668277</c:v>
                </c:pt>
                <c:pt idx="11">
                  <c:v>28.631708669235095</c:v>
                </c:pt>
                <c:pt idx="12">
                  <c:v>30.601864002801921</c:v>
                </c:pt>
                <c:pt idx="13">
                  <c:v>32.572019336368754</c:v>
                </c:pt>
                <c:pt idx="14">
                  <c:v>34.542174669935584</c:v>
                </c:pt>
                <c:pt idx="15">
                  <c:v>36.512330003502399</c:v>
                </c:pt>
                <c:pt idx="16">
                  <c:v>38.482485337069228</c:v>
                </c:pt>
                <c:pt idx="17">
                  <c:v>40.45264067063605</c:v>
                </c:pt>
                <c:pt idx="18">
                  <c:v>42.42279600420288</c:v>
                </c:pt>
                <c:pt idx="19">
                  <c:v>44.392951337769723</c:v>
                </c:pt>
                <c:pt idx="20">
                  <c:v>46.363106671336553</c:v>
                </c:pt>
                <c:pt idx="21">
                  <c:v>48.333262004903361</c:v>
                </c:pt>
                <c:pt idx="22">
                  <c:v>50.30341733847019</c:v>
                </c:pt>
                <c:pt idx="23">
                  <c:v>52.27357267203702</c:v>
                </c:pt>
                <c:pt idx="24">
                  <c:v>54.243728005603842</c:v>
                </c:pt>
                <c:pt idx="25">
                  <c:v>56.213883339170678</c:v>
                </c:pt>
                <c:pt idx="26">
                  <c:v>58.184038672737508</c:v>
                </c:pt>
                <c:pt idx="27">
                  <c:v>60.15419400630433</c:v>
                </c:pt>
                <c:pt idx="28">
                  <c:v>62.124349339871166</c:v>
                </c:pt>
                <c:pt idx="29">
                  <c:v>64.094504673437967</c:v>
                </c:pt>
                <c:pt idx="30">
                  <c:v>66.064660007004804</c:v>
                </c:pt>
                <c:pt idx="31">
                  <c:v>68.03481534057164</c:v>
                </c:pt>
                <c:pt idx="32">
                  <c:v>70.004970674138448</c:v>
                </c:pt>
                <c:pt idx="33">
                  <c:v>71.975126007705285</c:v>
                </c:pt>
                <c:pt idx="34">
                  <c:v>73.945281341272093</c:v>
                </c:pt>
                <c:pt idx="35">
                  <c:v>75.915436674838929</c:v>
                </c:pt>
                <c:pt idx="36">
                  <c:v>77.885592008405752</c:v>
                </c:pt>
                <c:pt idx="37">
                  <c:v>78.97398579861111</c:v>
                </c:pt>
                <c:pt idx="38">
                  <c:v>78.97398579861111</c:v>
                </c:pt>
                <c:pt idx="39">
                  <c:v>79.55517922487121</c:v>
                </c:pt>
                <c:pt idx="40">
                  <c:v>80.132989357781014</c:v>
                </c:pt>
                <c:pt idx="41">
                  <c:v>80.705917132270898</c:v>
                </c:pt>
                <c:pt idx="42">
                  <c:v>81.274167961735259</c:v>
                </c:pt>
                <c:pt idx="43">
                  <c:v>81.837934772260368</c:v>
                </c:pt>
                <c:pt idx="44">
                  <c:v>82.397399024912303</c:v>
                </c:pt>
                <c:pt idx="45">
                  <c:v>82.952731633378463</c:v>
                </c:pt>
                <c:pt idx="46">
                  <c:v>83.504093789737183</c:v>
                </c:pt>
                <c:pt idx="47">
                  <c:v>84.051637709329668</c:v>
                </c:pt>
                <c:pt idx="48">
                  <c:v>84.595507304193077</c:v>
                </c:pt>
                <c:pt idx="49">
                  <c:v>85.135838793235862</c:v>
                </c:pt>
                <c:pt idx="50">
                  <c:v>85.672761256252826</c:v>
                </c:pt>
                <c:pt idx="51">
                  <c:v>86.206397137956131</c:v>
                </c:pt>
                <c:pt idx="52">
                  <c:v>86.736862707412413</c:v>
                </c:pt>
                <c:pt idx="53">
                  <c:v>87.264268477603679</c:v>
                </c:pt>
                <c:pt idx="54">
                  <c:v>87.78871958925113</c:v>
                </c:pt>
                <c:pt idx="55">
                  <c:v>88.310316162543913</c:v>
                </c:pt>
                <c:pt idx="56">
                  <c:v>88.829153619984169</c:v>
                </c:pt>
                <c:pt idx="57">
                  <c:v>89.345322983188012</c:v>
                </c:pt>
                <c:pt idx="58">
                  <c:v>89.858911146157638</c:v>
                </c:pt>
                <c:pt idx="59">
                  <c:v>90.37000112725876</c:v>
                </c:pt>
                <c:pt idx="60">
                  <c:v>90.878672301890816</c:v>
                </c:pt>
                <c:pt idx="61">
                  <c:v>91.385000617622723</c:v>
                </c:pt>
                <c:pt idx="62">
                  <c:v>91.889058793377828</c:v>
                </c:pt>
                <c:pt idx="63">
                  <c:v>92.390916504085467</c:v>
                </c:pt>
                <c:pt idx="64">
                  <c:v>92.89064055207055</c:v>
                </c:pt>
                <c:pt idx="65">
                  <c:v>93.38829502632359</c:v>
                </c:pt>
                <c:pt idx="66">
                  <c:v>93.883941450678435</c:v>
                </c:pt>
                <c:pt idx="67">
                  <c:v>94.37763892182528</c:v>
                </c:pt>
                <c:pt idx="68">
                  <c:v>94.869444237994429</c:v>
                </c:pt>
                <c:pt idx="69">
                  <c:v>95.359412019068586</c:v>
                </c:pt>
                <c:pt idx="70">
                  <c:v>95.84759481880819</c:v>
                </c:pt>
                <c:pt idx="71">
                  <c:v>96.33404322981157</c:v>
                </c:pt>
                <c:pt idx="72">
                  <c:v>96.818805981774688</c:v>
                </c:pt>
                <c:pt idx="73">
                  <c:v>97.301930033563835</c:v>
                </c:pt>
                <c:pt idx="74">
                  <c:v>97.783460659569272</c:v>
                </c:pt>
                <c:pt idx="75">
                  <c:v>98.263441530766286</c:v>
                </c:pt>
                <c:pt idx="76">
                  <c:v>98.741914790873153</c:v>
                </c:pt>
                <c:pt idx="77">
                  <c:v>99.218921127962602</c:v>
                </c:pt>
                <c:pt idx="78">
                  <c:v>99.694499841852675</c:v>
                </c:pt>
                <c:pt idx="79">
                  <c:v>99.95267482230831</c:v>
                </c:pt>
                <c:pt idx="80">
                  <c:v>99.256109948032346</c:v>
                </c:pt>
                <c:pt idx="81">
                  <c:v>98.575462276996561</c:v>
                </c:pt>
                <c:pt idx="82">
                  <c:v>97.910182485493763</c:v>
                </c:pt>
                <c:pt idx="83">
                  <c:v>97.259746673972003</c:v>
                </c:pt>
                <c:pt idx="84">
                  <c:v>96.623654898314669</c:v>
                </c:pt>
                <c:pt idx="85">
                  <c:v>103.15102840188914</c:v>
                </c:pt>
                <c:pt idx="86">
                  <c:v>103.02495520421587</c:v>
                </c:pt>
                <c:pt idx="87">
                  <c:v>102.90940263769046</c:v>
                </c:pt>
                <c:pt idx="88">
                  <c:v>102.80409966976504</c:v>
                </c:pt>
                <c:pt idx="89">
                  <c:v>102.70878744912996</c:v>
                </c:pt>
                <c:pt idx="90">
                  <c:v>102.62321862897822</c:v>
                </c:pt>
                <c:pt idx="91">
                  <c:v>102.54715673488988</c:v>
                </c:pt>
                <c:pt idx="92">
                  <c:v>102.48037557394157</c:v>
                </c:pt>
                <c:pt idx="93">
                  <c:v>102.42265868193782</c:v>
                </c:pt>
                <c:pt idx="94">
                  <c:v>102.37379880592543</c:v>
                </c:pt>
                <c:pt idx="95">
                  <c:v>102.33359741939141</c:v>
                </c:pt>
                <c:pt idx="96">
                  <c:v>102.30186426776083</c:v>
                </c:pt>
                <c:pt idx="97">
                  <c:v>102.27841694200819</c:v>
                </c:pt>
                <c:pt idx="98">
                  <c:v>102.26308047837429</c:v>
                </c:pt>
                <c:pt idx="99">
                  <c:v>102.25568698234291</c:v>
                </c:pt>
                <c:pt idx="100">
                  <c:v>102.25607527517829</c:v>
                </c:pt>
              </c:numCache>
            </c:numRef>
          </c:val>
          <c:smooth val="0"/>
          <c:extLst>
            <c:ext xmlns:c16="http://schemas.microsoft.com/office/drawing/2014/chart" uri="{C3380CC4-5D6E-409C-BE32-E72D297353CC}">
              <c16:uniqueId val="{00000002-5C53-4025-A8F9-CC7E2198D347}"/>
            </c:ext>
          </c:extLst>
        </c:ser>
        <c:ser>
          <c:idx val="1"/>
          <c:order val="3"/>
          <c:tx>
            <c:strRef>
              <c:f>'Calculations - Dual'!$BP$3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Dual'!$BU$5:$BU$105</c:f>
              <c:numCache>
                <c:formatCode>0.0</c:formatCode>
                <c:ptCount val="101"/>
                <c:pt idx="0">
                  <c:v>1.5089897931596266</c:v>
                </c:pt>
                <c:pt idx="1">
                  <c:v>1.5089897931596266</c:v>
                </c:pt>
                <c:pt idx="2">
                  <c:v>2.2962639240428375</c:v>
                </c:pt>
                <c:pt idx="3">
                  <c:v>3.1234057103856121</c:v>
                </c:pt>
                <c:pt idx="4">
                  <c:v>3.9547105802630633</c:v>
                </c:pt>
                <c:pt idx="5">
                  <c:v>4.7908275547947463</c:v>
                </c:pt>
                <c:pt idx="6">
                  <c:v>5.6323271842076768</c:v>
                </c:pt>
                <c:pt idx="7">
                  <c:v>6.479724732191797</c:v>
                </c:pt>
                <c:pt idx="8">
                  <c:v>7.3334937449364173</c:v>
                </c:pt>
                <c:pt idx="9">
                  <c:v>8.194074822140399</c:v>
                </c:pt>
                <c:pt idx="10">
                  <c:v>9.0618816803274544</c:v>
                </c:pt>
                <c:pt idx="11">
                  <c:v>9.9373055537944239</c:v>
                </c:pt>
                <c:pt idx="12">
                  <c:v>10.820718509857031</c:v>
                </c:pt>
                <c:pt idx="13">
                  <c:v>11.712476020497963</c:v>
                </c:pt>
                <c:pt idx="14">
                  <c:v>12.612919005119187</c:v>
                </c:pt>
                <c:pt idx="15">
                  <c:v>13.52237548534589</c:v>
                </c:pt>
                <c:pt idx="16">
                  <c:v>14.441161947887284</c:v>
                </c:pt>
                <c:pt idx="17">
                  <c:v>15.369584482893865</c:v>
                </c:pt>
                <c:pt idx="18">
                  <c:v>16.307939746440127</c:v>
                </c:pt>
                <c:pt idx="19">
                  <c:v>17.256515782995375</c:v>
                </c:pt>
                <c:pt idx="20">
                  <c:v>18.215592734852979</c:v>
                </c:pt>
                <c:pt idx="21">
                  <c:v>19.185443459152147</c:v>
                </c:pt>
                <c:pt idx="22">
                  <c:v>20.16633406852046</c:v>
                </c:pt>
                <c:pt idx="23">
                  <c:v>21.158524407957572</c:v>
                </c:pt>
                <c:pt idx="24">
                  <c:v>22.162268478018621</c:v>
                </c:pt>
                <c:pt idx="25">
                  <c:v>23.177814812402744</c:v>
                </c:pt>
                <c:pt idx="26">
                  <c:v>24.205406816543292</c:v>
                </c:pt>
                <c:pt idx="27">
                  <c:v>25.245283072617489</c:v>
                </c:pt>
                <c:pt idx="28">
                  <c:v>26.297677615462227</c:v>
                </c:pt>
                <c:pt idx="29">
                  <c:v>27.362820183139771</c:v>
                </c:pt>
                <c:pt idx="30">
                  <c:v>28.440936445299823</c:v>
                </c:pt>
                <c:pt idx="31">
                  <c:v>29.532248211998908</c:v>
                </c:pt>
                <c:pt idx="32">
                  <c:v>30.636973625241954</c:v>
                </c:pt>
                <c:pt idx="33">
                  <c:v>31.755327335183708</c:v>
                </c:pt>
                <c:pt idx="34">
                  <c:v>32.887520662657188</c:v>
                </c:pt>
                <c:pt idx="35">
                  <c:v>34.033761749470159</c:v>
                </c:pt>
                <c:pt idx="36">
                  <c:v>35.194255697721175</c:v>
                </c:pt>
                <c:pt idx="37">
                  <c:v>35.841545400974503</c:v>
                </c:pt>
                <c:pt idx="38">
                  <c:v>35.841545400974503</c:v>
                </c:pt>
                <c:pt idx="39">
                  <c:v>36.824065745750126</c:v>
                </c:pt>
                <c:pt idx="40">
                  <c:v>37.810866964143415</c:v>
                </c:pt>
                <c:pt idx="41">
                  <c:v>38.799035285869905</c:v>
                </c:pt>
                <c:pt idx="42">
                  <c:v>39.788547362924227</c:v>
                </c:pt>
                <c:pt idx="43">
                  <c:v>40.779380802717839</c:v>
                </c:pt>
                <c:pt idx="44">
                  <c:v>41.771514107489793</c:v>
                </c:pt>
                <c:pt idx="45">
                  <c:v>42.764926618857864</c:v>
                </c:pt>
                <c:pt idx="46">
                  <c:v>43.759598466969152</c:v>
                </c:pt>
                <c:pt idx="47">
                  <c:v>44.755510523776358</c:v>
                </c:pt>
                <c:pt idx="48">
                  <c:v>45.752644360023758</c:v>
                </c:pt>
                <c:pt idx="49">
                  <c:v>46.750982205576712</c:v>
                </c:pt>
                <c:pt idx="50">
                  <c:v>47.750506912771982</c:v>
                </c:pt>
                <c:pt idx="51">
                  <c:v>48.75120192250224</c:v>
                </c:pt>
                <c:pt idx="52">
                  <c:v>49.753051232780884</c:v>
                </c:pt>
                <c:pt idx="53">
                  <c:v>50.756039369561869</c:v>
                </c:pt>
                <c:pt idx="54">
                  <c:v>51.760151359612522</c:v>
                </c:pt>
                <c:pt idx="55">
                  <c:v>52.765372705259594</c:v>
                </c:pt>
                <c:pt idx="56">
                  <c:v>53.771689360847361</c:v>
                </c:pt>
                <c:pt idx="57">
                  <c:v>54.779087710763115</c:v>
                </c:pt>
                <c:pt idx="58">
                  <c:v>55.787554548899578</c:v>
                </c:pt>
                <c:pt idx="59">
                  <c:v>56.797077059437555</c:v>
                </c:pt>
                <c:pt idx="60">
                  <c:v>57.807642798842238</c:v>
                </c:pt>
                <c:pt idx="61">
                  <c:v>58.819239678978107</c:v>
                </c:pt>
                <c:pt idx="62">
                  <c:v>59.831855951255392</c:v>
                </c:pt>
                <c:pt idx="63">
                  <c:v>60.845480191729109</c:v>
                </c:pt>
                <c:pt idx="64">
                  <c:v>61.860101287079637</c:v>
                </c:pt>
                <c:pt idx="65">
                  <c:v>62.875708421409406</c:v>
                </c:pt>
                <c:pt idx="66">
                  <c:v>63.892291063796208</c:v>
                </c:pt>
                <c:pt idx="67">
                  <c:v>64.909838956549294</c:v>
                </c:pt>
                <c:pt idx="68">
                  <c:v>65.928342104118116</c:v>
                </c:pt>
                <c:pt idx="69">
                  <c:v>66.947790762608761</c:v>
                </c:pt>
                <c:pt idx="70">
                  <c:v>67.968175429866363</c:v>
                </c:pt>
                <c:pt idx="71">
                  <c:v>68.989486836084978</c:v>
                </c:pt>
                <c:pt idx="72">
                  <c:v>70.011715934910029</c:v>
                </c:pt>
                <c:pt idx="73">
                  <c:v>71.034853895001049</c:v>
                </c:pt>
                <c:pt idx="74">
                  <c:v>72.058892092024692</c:v>
                </c:pt>
                <c:pt idx="75">
                  <c:v>73.083822101050771</c:v>
                </c:pt>
                <c:pt idx="76">
                  <c:v>74.109635689325401</c:v>
                </c:pt>
                <c:pt idx="77">
                  <c:v>75.136324809398602</c:v>
                </c:pt>
                <c:pt idx="78">
                  <c:v>76.163881592584048</c:v>
                </c:pt>
                <c:pt idx="79">
                  <c:v>76.971638660030976</c:v>
                </c:pt>
                <c:pt idx="80">
                  <c:v>76.798529394163594</c:v>
                </c:pt>
                <c:pt idx="81">
                  <c:v>76.63092599281832</c:v>
                </c:pt>
                <c:pt idx="82">
                  <c:v>76.468609166690698</c:v>
                </c:pt>
                <c:pt idx="83">
                  <c:v>76.311370863534037</c:v>
                </c:pt>
                <c:pt idx="84">
                  <c:v>76.159013566140004</c:v>
                </c:pt>
                <c:pt idx="85">
                  <c:v>91.933136133414976</c:v>
                </c:pt>
                <c:pt idx="86">
                  <c:v>92.889529169368629</c:v>
                </c:pt>
                <c:pt idx="87">
                  <c:v>93.84704252082355</c:v>
                </c:pt>
                <c:pt idx="88">
                  <c:v>94.805676187779497</c:v>
                </c:pt>
                <c:pt idx="89">
                  <c:v>95.76543017023657</c:v>
                </c:pt>
                <c:pt idx="90">
                  <c:v>96.726304468194911</c:v>
                </c:pt>
                <c:pt idx="91">
                  <c:v>97.688299081654279</c:v>
                </c:pt>
                <c:pt idx="92">
                  <c:v>98.651414010614843</c:v>
                </c:pt>
                <c:pt idx="93">
                  <c:v>99.615649255076519</c:v>
                </c:pt>
                <c:pt idx="94">
                  <c:v>100.58100481503936</c:v>
                </c:pt>
                <c:pt idx="95">
                  <c:v>101.54748069050336</c:v>
                </c:pt>
                <c:pt idx="96">
                  <c:v>102.51507688146843</c:v>
                </c:pt>
                <c:pt idx="97">
                  <c:v>103.48379338793474</c:v>
                </c:pt>
                <c:pt idx="98">
                  <c:v>104.45363020990212</c:v>
                </c:pt>
                <c:pt idx="99">
                  <c:v>105.42458734737065</c:v>
                </c:pt>
                <c:pt idx="100">
                  <c:v>106.39666480034032</c:v>
                </c:pt>
              </c:numCache>
            </c:numRef>
          </c:val>
          <c:smooth val="0"/>
          <c:extLst>
            <c:ext xmlns:c16="http://schemas.microsoft.com/office/drawing/2014/chart" uri="{C3380CC4-5D6E-409C-BE32-E72D297353CC}">
              <c16:uniqueId val="{00000003-5C53-4025-A8F9-CC7E2198D347}"/>
            </c:ext>
          </c:extLst>
        </c:ser>
        <c:dLbls>
          <c:showLegendKey val="0"/>
          <c:showVal val="0"/>
          <c:showCatName val="0"/>
          <c:showSerName val="0"/>
          <c:showPercent val="0"/>
          <c:showBubbleSize val="0"/>
        </c:dLbls>
        <c:marker val="1"/>
        <c:smooth val="0"/>
        <c:axId val="145023360"/>
        <c:axId val="145021184"/>
      </c:lineChart>
      <c:catAx>
        <c:axId val="145004800"/>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cs-CZ"/>
          </a:p>
        </c:txPr>
        <c:crossAx val="145019264"/>
        <c:crosses val="autoZero"/>
        <c:auto val="1"/>
        <c:lblAlgn val="ctr"/>
        <c:lblOffset val="100"/>
        <c:tickLblSkip val="20"/>
        <c:tickMarkSkip val="20"/>
        <c:noMultiLvlLbl val="0"/>
      </c:catAx>
      <c:valAx>
        <c:axId val="145019264"/>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cs-CZ"/>
          </a:p>
        </c:txPr>
        <c:crossAx val="145004800"/>
        <c:crossesAt val="0"/>
        <c:crossBetween val="between"/>
        <c:majorUnit val="5"/>
        <c:minorUnit val="2.5"/>
      </c:valAx>
      <c:valAx>
        <c:axId val="14502118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cs-CZ"/>
          </a:p>
        </c:txPr>
        <c:crossAx val="145023360"/>
        <c:crosses val="max"/>
        <c:crossBetween val="between"/>
      </c:valAx>
      <c:catAx>
        <c:axId val="145023360"/>
        <c:scaling>
          <c:orientation val="minMax"/>
        </c:scaling>
        <c:delete val="1"/>
        <c:axPos val="b"/>
        <c:numFmt formatCode="General" sourceLinked="1"/>
        <c:majorTickMark val="out"/>
        <c:minorTickMark val="none"/>
        <c:tickLblPos val="nextTo"/>
        <c:crossAx val="14502118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cs-CZ"/>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cs-CZ"/>
    </a:p>
  </c:txPr>
  <c:printSettings>
    <c:headerFooter alignWithMargins="0"/>
    <c:pageMargins b="1" l="0.750000000000006" r="0.75000000000000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0.28999999999999998</c:v>
                </c:pt>
                <c:pt idx="1">
                  <c:v>0.28999999999999998</c:v>
                </c:pt>
                <c:pt idx="2">
                  <c:v>0.28999999999999998</c:v>
                </c:pt>
                <c:pt idx="3">
                  <c:v>0.28999999999999998</c:v>
                </c:pt>
                <c:pt idx="4">
                  <c:v>0.28999999999999998</c:v>
                </c:pt>
                <c:pt idx="5">
                  <c:v>0.28999999999999998</c:v>
                </c:pt>
                <c:pt idx="6">
                  <c:v>0.28999999999999998</c:v>
                </c:pt>
                <c:pt idx="7">
                  <c:v>0.28999999999999998</c:v>
                </c:pt>
                <c:pt idx="8">
                  <c:v>0.28999999999999998</c:v>
                </c:pt>
                <c:pt idx="9">
                  <c:v>0.28999999999999998</c:v>
                </c:pt>
                <c:pt idx="10">
                  <c:v>0.28999999999999998</c:v>
                </c:pt>
                <c:pt idx="11">
                  <c:v>0.28999999999999998</c:v>
                </c:pt>
                <c:pt idx="12">
                  <c:v>0.28999999999999998</c:v>
                </c:pt>
                <c:pt idx="13">
                  <c:v>0.28999999999999998</c:v>
                </c:pt>
                <c:pt idx="14">
                  <c:v>0.28999999999999998</c:v>
                </c:pt>
                <c:pt idx="15">
                  <c:v>0.28999999999999998</c:v>
                </c:pt>
                <c:pt idx="16">
                  <c:v>0.28999999999999998</c:v>
                </c:pt>
                <c:pt idx="17">
                  <c:v>0.28999999999999998</c:v>
                </c:pt>
                <c:pt idx="18">
                  <c:v>0.28999999999999998</c:v>
                </c:pt>
                <c:pt idx="19">
                  <c:v>0.28999999999999998</c:v>
                </c:pt>
                <c:pt idx="20">
                  <c:v>0.28999999999999998</c:v>
                </c:pt>
                <c:pt idx="21">
                  <c:v>0.28999999999999998</c:v>
                </c:pt>
                <c:pt idx="22">
                  <c:v>0.28999999999999998</c:v>
                </c:pt>
                <c:pt idx="23">
                  <c:v>0.28999999999999998</c:v>
                </c:pt>
                <c:pt idx="24">
                  <c:v>0.28999999999999998</c:v>
                </c:pt>
                <c:pt idx="25">
                  <c:v>0.28999999999999998</c:v>
                </c:pt>
                <c:pt idx="26">
                  <c:v>0.28999999999999998</c:v>
                </c:pt>
                <c:pt idx="27">
                  <c:v>0.28999999999999998</c:v>
                </c:pt>
                <c:pt idx="28">
                  <c:v>0.28999999999999998</c:v>
                </c:pt>
                <c:pt idx="29">
                  <c:v>0.28999999999999998</c:v>
                </c:pt>
                <c:pt idx="30">
                  <c:v>0.28999999999999998</c:v>
                </c:pt>
                <c:pt idx="31">
                  <c:v>0.28999999999999998</c:v>
                </c:pt>
                <c:pt idx="32">
                  <c:v>0.28999999999999998</c:v>
                </c:pt>
                <c:pt idx="33">
                  <c:v>0.28999999999999998</c:v>
                </c:pt>
                <c:pt idx="34">
                  <c:v>0.28999999999999998</c:v>
                </c:pt>
                <c:pt idx="35">
                  <c:v>0.28999999999999998</c:v>
                </c:pt>
                <c:pt idx="36">
                  <c:v>0.28999999999999998</c:v>
                </c:pt>
                <c:pt idx="37">
                  <c:v>0.28999999999999998</c:v>
                </c:pt>
                <c:pt idx="38">
                  <c:v>0.28999999999999998</c:v>
                </c:pt>
                <c:pt idx="39">
                  <c:v>0.28999999999999998</c:v>
                </c:pt>
                <c:pt idx="40">
                  <c:v>0.28999999999999998</c:v>
                </c:pt>
                <c:pt idx="41">
                  <c:v>0.28999999999999998</c:v>
                </c:pt>
                <c:pt idx="42">
                  <c:v>0.28999999999999998</c:v>
                </c:pt>
                <c:pt idx="43">
                  <c:v>0.28999999999999998</c:v>
                </c:pt>
                <c:pt idx="44">
                  <c:v>0.28999999999999998</c:v>
                </c:pt>
                <c:pt idx="45">
                  <c:v>0.28999999999999998</c:v>
                </c:pt>
                <c:pt idx="46">
                  <c:v>0.28999999999999998</c:v>
                </c:pt>
                <c:pt idx="47">
                  <c:v>0.28999999999999998</c:v>
                </c:pt>
                <c:pt idx="48">
                  <c:v>0.28999999999999998</c:v>
                </c:pt>
                <c:pt idx="49">
                  <c:v>0.28999999999999998</c:v>
                </c:pt>
                <c:pt idx="50">
                  <c:v>0.28999999999999998</c:v>
                </c:pt>
                <c:pt idx="51">
                  <c:v>0.28999999999999998</c:v>
                </c:pt>
                <c:pt idx="52">
                  <c:v>0.28999999999999998</c:v>
                </c:pt>
                <c:pt idx="53">
                  <c:v>0.28999999999999998</c:v>
                </c:pt>
                <c:pt idx="54">
                  <c:v>0.28999999999999998</c:v>
                </c:pt>
                <c:pt idx="55">
                  <c:v>0.28999999999999998</c:v>
                </c:pt>
                <c:pt idx="56">
                  <c:v>0.28999999999999998</c:v>
                </c:pt>
                <c:pt idx="57">
                  <c:v>0.28999999999999998</c:v>
                </c:pt>
                <c:pt idx="58">
                  <c:v>0.28999999999999998</c:v>
                </c:pt>
                <c:pt idx="59">
                  <c:v>0.28999999999999998</c:v>
                </c:pt>
                <c:pt idx="60">
                  <c:v>0.28999999999999998</c:v>
                </c:pt>
                <c:pt idx="61">
                  <c:v>0.28999999999999998</c:v>
                </c:pt>
                <c:pt idx="62">
                  <c:v>0.28999999999999998</c:v>
                </c:pt>
                <c:pt idx="63">
                  <c:v>0.28999999999999998</c:v>
                </c:pt>
                <c:pt idx="64">
                  <c:v>0.28999999999999998</c:v>
                </c:pt>
                <c:pt idx="65">
                  <c:v>0.28999999999999998</c:v>
                </c:pt>
                <c:pt idx="66">
                  <c:v>0.28999999999999998</c:v>
                </c:pt>
                <c:pt idx="67">
                  <c:v>0.28999999999999998</c:v>
                </c:pt>
                <c:pt idx="68">
                  <c:v>0.28999999999999998</c:v>
                </c:pt>
                <c:pt idx="69">
                  <c:v>0.28999999999999998</c:v>
                </c:pt>
                <c:pt idx="70">
                  <c:v>0.28999999999999998</c:v>
                </c:pt>
                <c:pt idx="71">
                  <c:v>0.28999999999999998</c:v>
                </c:pt>
                <c:pt idx="72">
                  <c:v>0.28999999999999998</c:v>
                </c:pt>
                <c:pt idx="73">
                  <c:v>0.28999999999999998</c:v>
                </c:pt>
                <c:pt idx="74">
                  <c:v>0.28999999999999998</c:v>
                </c:pt>
                <c:pt idx="75">
                  <c:v>0.28999999999999998</c:v>
                </c:pt>
                <c:pt idx="76">
                  <c:v>0.28999999999999998</c:v>
                </c:pt>
                <c:pt idx="77">
                  <c:v>0.28999999999999998</c:v>
                </c:pt>
                <c:pt idx="78">
                  <c:v>0.28999999999999998</c:v>
                </c:pt>
                <c:pt idx="79">
                  <c:v>0.28999999999999998</c:v>
                </c:pt>
                <c:pt idx="80">
                  <c:v>0.28999999999999998</c:v>
                </c:pt>
                <c:pt idx="81">
                  <c:v>0.28999999999999998</c:v>
                </c:pt>
                <c:pt idx="82">
                  <c:v>0.28999999999999998</c:v>
                </c:pt>
                <c:pt idx="83">
                  <c:v>0.28999999999999998</c:v>
                </c:pt>
                <c:pt idx="84">
                  <c:v>0.28999999999999998</c:v>
                </c:pt>
                <c:pt idx="85">
                  <c:v>0.28999999999999998</c:v>
                </c:pt>
                <c:pt idx="86">
                  <c:v>0.28999999999999998</c:v>
                </c:pt>
                <c:pt idx="87">
                  <c:v>0.28999999999999998</c:v>
                </c:pt>
                <c:pt idx="88">
                  <c:v>0.28999999999999998</c:v>
                </c:pt>
                <c:pt idx="89">
                  <c:v>0.28999999999999998</c:v>
                </c:pt>
                <c:pt idx="90">
                  <c:v>0.28999999999999998</c:v>
                </c:pt>
                <c:pt idx="91">
                  <c:v>0.28999999999999998</c:v>
                </c:pt>
                <c:pt idx="92">
                  <c:v>0.28999999999999998</c:v>
                </c:pt>
                <c:pt idx="93">
                  <c:v>0.28999999999999998</c:v>
                </c:pt>
                <c:pt idx="94">
                  <c:v>0.28999999999999998</c:v>
                </c:pt>
                <c:pt idx="95">
                  <c:v>0.28999999999999998</c:v>
                </c:pt>
                <c:pt idx="96">
                  <c:v>0.28999999999999998</c:v>
                </c:pt>
                <c:pt idx="97">
                  <c:v>0.28999999999999998</c:v>
                </c:pt>
                <c:pt idx="98">
                  <c:v>0.28999999999999998</c:v>
                </c:pt>
                <c:pt idx="99">
                  <c:v>0.28999999999999998</c:v>
                </c:pt>
                <c:pt idx="100">
                  <c:v>0.28999999999999998</c:v>
                </c:pt>
              </c:numCache>
            </c:numRef>
          </c:val>
          <c:smooth val="0"/>
          <c:extLst>
            <c:ext xmlns:c16="http://schemas.microsoft.com/office/drawing/2014/chart" uri="{C3380CC4-5D6E-409C-BE32-E72D297353CC}">
              <c16:uniqueId val="{00000000-626A-4404-BC31-C37F9B4590FB}"/>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Single'!$AJ$5:$AJ$105</c:f>
              <c:numCache>
                <c:formatCode>0.000</c:formatCode>
                <c:ptCount val="101"/>
                <c:pt idx="0">
                  <c:v>0.28999999999999998</c:v>
                </c:pt>
                <c:pt idx="1">
                  <c:v>0.28999999999999998</c:v>
                </c:pt>
                <c:pt idx="2">
                  <c:v>0.28999999999999998</c:v>
                </c:pt>
                <c:pt idx="3">
                  <c:v>0.28999999999999998</c:v>
                </c:pt>
                <c:pt idx="4">
                  <c:v>0.28999999999999998</c:v>
                </c:pt>
                <c:pt idx="5">
                  <c:v>0.28999999999999998</c:v>
                </c:pt>
                <c:pt idx="6">
                  <c:v>0.28999999999999998</c:v>
                </c:pt>
                <c:pt idx="7">
                  <c:v>0.28999999999999998</c:v>
                </c:pt>
                <c:pt idx="8">
                  <c:v>0.28999999999999998</c:v>
                </c:pt>
                <c:pt idx="9">
                  <c:v>0.28999999999999998</c:v>
                </c:pt>
                <c:pt idx="10">
                  <c:v>0.28999999999999998</c:v>
                </c:pt>
                <c:pt idx="11">
                  <c:v>0.28999999999999998</c:v>
                </c:pt>
                <c:pt idx="12">
                  <c:v>0.28999999999999998</c:v>
                </c:pt>
                <c:pt idx="13">
                  <c:v>0.28999999999999998</c:v>
                </c:pt>
                <c:pt idx="14">
                  <c:v>0.28999999999999998</c:v>
                </c:pt>
                <c:pt idx="15">
                  <c:v>0.28999999999999998</c:v>
                </c:pt>
                <c:pt idx="16">
                  <c:v>0.28999999999999998</c:v>
                </c:pt>
                <c:pt idx="17">
                  <c:v>0.28999999999999998</c:v>
                </c:pt>
                <c:pt idx="18">
                  <c:v>0.28999999999999998</c:v>
                </c:pt>
                <c:pt idx="19">
                  <c:v>0.28999999999999998</c:v>
                </c:pt>
                <c:pt idx="20">
                  <c:v>0.28999999999999998</c:v>
                </c:pt>
                <c:pt idx="21">
                  <c:v>0.28999999999999998</c:v>
                </c:pt>
                <c:pt idx="22">
                  <c:v>0.28999999999999998</c:v>
                </c:pt>
                <c:pt idx="23">
                  <c:v>0.28999999999999998</c:v>
                </c:pt>
                <c:pt idx="24">
                  <c:v>0.28999999999999998</c:v>
                </c:pt>
                <c:pt idx="25">
                  <c:v>0.28999999999999998</c:v>
                </c:pt>
                <c:pt idx="26">
                  <c:v>0.28999999999999998</c:v>
                </c:pt>
                <c:pt idx="27">
                  <c:v>0.28999999999999998</c:v>
                </c:pt>
                <c:pt idx="28">
                  <c:v>0.28999999999999998</c:v>
                </c:pt>
                <c:pt idx="29">
                  <c:v>0.28999999999999998</c:v>
                </c:pt>
                <c:pt idx="30">
                  <c:v>0.28999999999999998</c:v>
                </c:pt>
                <c:pt idx="31">
                  <c:v>0.28999999999999998</c:v>
                </c:pt>
                <c:pt idx="32">
                  <c:v>0.28999999999999998</c:v>
                </c:pt>
                <c:pt idx="33">
                  <c:v>0.28999999999999998</c:v>
                </c:pt>
                <c:pt idx="34">
                  <c:v>0.28999999999999998</c:v>
                </c:pt>
                <c:pt idx="35">
                  <c:v>0.28999999999999998</c:v>
                </c:pt>
                <c:pt idx="36">
                  <c:v>0.28999999999999998</c:v>
                </c:pt>
                <c:pt idx="37">
                  <c:v>0.28999999999999998</c:v>
                </c:pt>
                <c:pt idx="38">
                  <c:v>0.28999999999999998</c:v>
                </c:pt>
                <c:pt idx="39">
                  <c:v>0.28999999999999998</c:v>
                </c:pt>
                <c:pt idx="40">
                  <c:v>0.28999999999999998</c:v>
                </c:pt>
                <c:pt idx="41">
                  <c:v>0.28999999999999998</c:v>
                </c:pt>
                <c:pt idx="42">
                  <c:v>0.28999999999999998</c:v>
                </c:pt>
                <c:pt idx="43">
                  <c:v>0.28999999999999998</c:v>
                </c:pt>
                <c:pt idx="44">
                  <c:v>0.28999999999999998</c:v>
                </c:pt>
                <c:pt idx="45">
                  <c:v>0.28999999999999998</c:v>
                </c:pt>
                <c:pt idx="46">
                  <c:v>0.28999999999999998</c:v>
                </c:pt>
                <c:pt idx="47">
                  <c:v>0.28999999999999998</c:v>
                </c:pt>
                <c:pt idx="48">
                  <c:v>0.28999999999999998</c:v>
                </c:pt>
                <c:pt idx="49">
                  <c:v>0.28999999999999998</c:v>
                </c:pt>
                <c:pt idx="50">
                  <c:v>0.28999999999999998</c:v>
                </c:pt>
                <c:pt idx="51">
                  <c:v>0.28999999999999998</c:v>
                </c:pt>
                <c:pt idx="52">
                  <c:v>0.28999999999999998</c:v>
                </c:pt>
                <c:pt idx="53">
                  <c:v>0.28999999999999998</c:v>
                </c:pt>
                <c:pt idx="54">
                  <c:v>0.28999999999999998</c:v>
                </c:pt>
                <c:pt idx="55">
                  <c:v>0.28999999999999998</c:v>
                </c:pt>
                <c:pt idx="56">
                  <c:v>0.28999999999999998</c:v>
                </c:pt>
                <c:pt idx="57">
                  <c:v>0.28999999999999998</c:v>
                </c:pt>
                <c:pt idx="58">
                  <c:v>0.28999999999999998</c:v>
                </c:pt>
                <c:pt idx="59">
                  <c:v>0.28999999999999998</c:v>
                </c:pt>
                <c:pt idx="60">
                  <c:v>0.28999999999999998</c:v>
                </c:pt>
                <c:pt idx="61">
                  <c:v>0.28999999999999998</c:v>
                </c:pt>
                <c:pt idx="62">
                  <c:v>0.28999999999999998</c:v>
                </c:pt>
                <c:pt idx="63">
                  <c:v>0.28999999999999998</c:v>
                </c:pt>
                <c:pt idx="64">
                  <c:v>0.28999999999999998</c:v>
                </c:pt>
                <c:pt idx="65">
                  <c:v>0.28999999999999998</c:v>
                </c:pt>
                <c:pt idx="66">
                  <c:v>0.28999999999999998</c:v>
                </c:pt>
                <c:pt idx="67">
                  <c:v>0.28999999999999998</c:v>
                </c:pt>
                <c:pt idx="68">
                  <c:v>0.28999999999999998</c:v>
                </c:pt>
                <c:pt idx="69">
                  <c:v>0.28999999999999998</c:v>
                </c:pt>
                <c:pt idx="70">
                  <c:v>0.28999999999999998</c:v>
                </c:pt>
                <c:pt idx="71">
                  <c:v>0.28999999999999998</c:v>
                </c:pt>
                <c:pt idx="72">
                  <c:v>0.28999999999999998</c:v>
                </c:pt>
                <c:pt idx="73">
                  <c:v>0.28999999999999998</c:v>
                </c:pt>
                <c:pt idx="74">
                  <c:v>0.28999999999999998</c:v>
                </c:pt>
                <c:pt idx="75">
                  <c:v>0.28999999999999998</c:v>
                </c:pt>
                <c:pt idx="76">
                  <c:v>0.28999999999999998</c:v>
                </c:pt>
                <c:pt idx="77">
                  <c:v>0.28999999999999998</c:v>
                </c:pt>
                <c:pt idx="78">
                  <c:v>0.28999999999999998</c:v>
                </c:pt>
                <c:pt idx="79">
                  <c:v>0.28999999999999998</c:v>
                </c:pt>
                <c:pt idx="80">
                  <c:v>0.28999999999999998</c:v>
                </c:pt>
                <c:pt idx="81">
                  <c:v>0.28999999999999998</c:v>
                </c:pt>
                <c:pt idx="82">
                  <c:v>0.28999999999999998</c:v>
                </c:pt>
                <c:pt idx="83">
                  <c:v>0.28999999999999998</c:v>
                </c:pt>
                <c:pt idx="84">
                  <c:v>0.28999999999999998</c:v>
                </c:pt>
                <c:pt idx="85">
                  <c:v>0.28999999999999998</c:v>
                </c:pt>
                <c:pt idx="86">
                  <c:v>0.28999999999999998</c:v>
                </c:pt>
                <c:pt idx="87">
                  <c:v>0.28999999999999998</c:v>
                </c:pt>
                <c:pt idx="88">
                  <c:v>0.28999999999999998</c:v>
                </c:pt>
                <c:pt idx="89">
                  <c:v>0.28999999999999998</c:v>
                </c:pt>
                <c:pt idx="90">
                  <c:v>0.28999999999999998</c:v>
                </c:pt>
                <c:pt idx="91">
                  <c:v>0.28999999999999998</c:v>
                </c:pt>
                <c:pt idx="92">
                  <c:v>0.28999999999999998</c:v>
                </c:pt>
                <c:pt idx="93">
                  <c:v>0.28999999999999998</c:v>
                </c:pt>
                <c:pt idx="94">
                  <c:v>0.28999999999999998</c:v>
                </c:pt>
                <c:pt idx="95">
                  <c:v>0.28999999999999998</c:v>
                </c:pt>
                <c:pt idx="96">
                  <c:v>0.28999999999999998</c:v>
                </c:pt>
                <c:pt idx="97">
                  <c:v>0.28999999999999998</c:v>
                </c:pt>
                <c:pt idx="98">
                  <c:v>0.28999999999999998</c:v>
                </c:pt>
                <c:pt idx="99">
                  <c:v>0.28999999999999998</c:v>
                </c:pt>
                <c:pt idx="100">
                  <c:v>0.28999999999999998</c:v>
                </c:pt>
              </c:numCache>
            </c:numRef>
          </c:val>
          <c:smooth val="0"/>
          <c:extLst>
            <c:ext xmlns:c16="http://schemas.microsoft.com/office/drawing/2014/chart" uri="{C3380CC4-5D6E-409C-BE32-E72D297353CC}">
              <c16:uniqueId val="{00000001-626A-4404-BC31-C37F9B4590FB}"/>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0.28999999999999998</c:v>
                </c:pt>
                <c:pt idx="1">
                  <c:v>0.28999999999999998</c:v>
                </c:pt>
                <c:pt idx="2">
                  <c:v>0.28999999999999998</c:v>
                </c:pt>
                <c:pt idx="3">
                  <c:v>0.28999999999999998</c:v>
                </c:pt>
                <c:pt idx="4">
                  <c:v>0.28999999999999998</c:v>
                </c:pt>
                <c:pt idx="5">
                  <c:v>0.28999999999999998</c:v>
                </c:pt>
                <c:pt idx="6">
                  <c:v>0.28999999999999998</c:v>
                </c:pt>
                <c:pt idx="7">
                  <c:v>0.28999999999999998</c:v>
                </c:pt>
                <c:pt idx="8">
                  <c:v>0.28999999999999998</c:v>
                </c:pt>
                <c:pt idx="9">
                  <c:v>0.28999999999999998</c:v>
                </c:pt>
                <c:pt idx="10">
                  <c:v>0.28999999999999998</c:v>
                </c:pt>
                <c:pt idx="11">
                  <c:v>0.28999999999999998</c:v>
                </c:pt>
                <c:pt idx="12">
                  <c:v>0.28999999999999998</c:v>
                </c:pt>
                <c:pt idx="13">
                  <c:v>0.28999999999999998</c:v>
                </c:pt>
                <c:pt idx="14">
                  <c:v>0.28999999999999998</c:v>
                </c:pt>
                <c:pt idx="15">
                  <c:v>0.28999999999999998</c:v>
                </c:pt>
                <c:pt idx="16">
                  <c:v>0.28999999999999998</c:v>
                </c:pt>
                <c:pt idx="17">
                  <c:v>0.28999999999999998</c:v>
                </c:pt>
                <c:pt idx="18">
                  <c:v>0.28999999999999998</c:v>
                </c:pt>
                <c:pt idx="19">
                  <c:v>0.28999999999999998</c:v>
                </c:pt>
                <c:pt idx="20">
                  <c:v>0.28999999999999998</c:v>
                </c:pt>
                <c:pt idx="21">
                  <c:v>0.28999999999999998</c:v>
                </c:pt>
                <c:pt idx="22">
                  <c:v>0.28999999999999998</c:v>
                </c:pt>
                <c:pt idx="23">
                  <c:v>0.28999999999999998</c:v>
                </c:pt>
                <c:pt idx="24">
                  <c:v>0.28999999999999998</c:v>
                </c:pt>
                <c:pt idx="25">
                  <c:v>0.28999999999999998</c:v>
                </c:pt>
                <c:pt idx="26">
                  <c:v>0.28999999999999998</c:v>
                </c:pt>
                <c:pt idx="27">
                  <c:v>0.28999999999999998</c:v>
                </c:pt>
                <c:pt idx="28">
                  <c:v>0.28999999999999998</c:v>
                </c:pt>
                <c:pt idx="29">
                  <c:v>0.28999999999999998</c:v>
                </c:pt>
                <c:pt idx="30">
                  <c:v>0.28999999999999998</c:v>
                </c:pt>
                <c:pt idx="31">
                  <c:v>0.28999999999999998</c:v>
                </c:pt>
                <c:pt idx="32">
                  <c:v>0.28999999999999998</c:v>
                </c:pt>
                <c:pt idx="33">
                  <c:v>0.28999999999999998</c:v>
                </c:pt>
                <c:pt idx="34">
                  <c:v>0.28999999999999998</c:v>
                </c:pt>
                <c:pt idx="35">
                  <c:v>0.28999999999999998</c:v>
                </c:pt>
                <c:pt idx="36">
                  <c:v>0.28999999999999998</c:v>
                </c:pt>
                <c:pt idx="37">
                  <c:v>0.28999999999999998</c:v>
                </c:pt>
                <c:pt idx="38">
                  <c:v>0.28999999999999998</c:v>
                </c:pt>
                <c:pt idx="39">
                  <c:v>0.28999999999999998</c:v>
                </c:pt>
                <c:pt idx="40">
                  <c:v>0.28999999999999998</c:v>
                </c:pt>
                <c:pt idx="41">
                  <c:v>0.28999999999999998</c:v>
                </c:pt>
                <c:pt idx="42">
                  <c:v>0.28999999999999998</c:v>
                </c:pt>
                <c:pt idx="43">
                  <c:v>0.28999999999999998</c:v>
                </c:pt>
                <c:pt idx="44">
                  <c:v>0.28999999999999998</c:v>
                </c:pt>
                <c:pt idx="45">
                  <c:v>0.28999999999999998</c:v>
                </c:pt>
                <c:pt idx="46">
                  <c:v>0.28999999999999998</c:v>
                </c:pt>
                <c:pt idx="47">
                  <c:v>0.28999999999999998</c:v>
                </c:pt>
                <c:pt idx="48">
                  <c:v>0.28999999999999998</c:v>
                </c:pt>
                <c:pt idx="49">
                  <c:v>0.28999999999999998</c:v>
                </c:pt>
                <c:pt idx="50">
                  <c:v>0.28999999999999998</c:v>
                </c:pt>
                <c:pt idx="51">
                  <c:v>0.28999999999999998</c:v>
                </c:pt>
                <c:pt idx="52">
                  <c:v>0.28999999999999998</c:v>
                </c:pt>
                <c:pt idx="53">
                  <c:v>0.28999999999999998</c:v>
                </c:pt>
                <c:pt idx="54">
                  <c:v>0.28999999999999998</c:v>
                </c:pt>
                <c:pt idx="55">
                  <c:v>0.28999999999999998</c:v>
                </c:pt>
                <c:pt idx="56">
                  <c:v>0.28999999999999998</c:v>
                </c:pt>
                <c:pt idx="57">
                  <c:v>0.28999999999999998</c:v>
                </c:pt>
                <c:pt idx="58">
                  <c:v>0.28999999999999998</c:v>
                </c:pt>
                <c:pt idx="59">
                  <c:v>0.28999999999999998</c:v>
                </c:pt>
                <c:pt idx="60">
                  <c:v>0.28999999999999998</c:v>
                </c:pt>
                <c:pt idx="61">
                  <c:v>0.28999999999999998</c:v>
                </c:pt>
                <c:pt idx="62">
                  <c:v>0.28999999999999998</c:v>
                </c:pt>
                <c:pt idx="63">
                  <c:v>0.28999999999999998</c:v>
                </c:pt>
                <c:pt idx="64">
                  <c:v>0.28999999999999998</c:v>
                </c:pt>
                <c:pt idx="65">
                  <c:v>0.28999999999999998</c:v>
                </c:pt>
                <c:pt idx="66">
                  <c:v>0.28999999999999998</c:v>
                </c:pt>
                <c:pt idx="67">
                  <c:v>0.28999999999999998</c:v>
                </c:pt>
                <c:pt idx="68">
                  <c:v>0.28999999999999998</c:v>
                </c:pt>
                <c:pt idx="69">
                  <c:v>0.28999999999999998</c:v>
                </c:pt>
                <c:pt idx="70">
                  <c:v>0.28999999999999998</c:v>
                </c:pt>
                <c:pt idx="71">
                  <c:v>0.28999999999999998</c:v>
                </c:pt>
                <c:pt idx="72">
                  <c:v>0.28999999999999998</c:v>
                </c:pt>
                <c:pt idx="73">
                  <c:v>0.28999999999999998</c:v>
                </c:pt>
                <c:pt idx="74">
                  <c:v>0.28999999999999998</c:v>
                </c:pt>
                <c:pt idx="75">
                  <c:v>0.28999999999999998</c:v>
                </c:pt>
                <c:pt idx="76">
                  <c:v>0.28999999999999998</c:v>
                </c:pt>
                <c:pt idx="77">
                  <c:v>0.28999999999999998</c:v>
                </c:pt>
                <c:pt idx="78">
                  <c:v>0.28999999999999998</c:v>
                </c:pt>
                <c:pt idx="79">
                  <c:v>0.28999999999999998</c:v>
                </c:pt>
                <c:pt idx="80">
                  <c:v>0.28999999999999998</c:v>
                </c:pt>
                <c:pt idx="81">
                  <c:v>0.28999999999999998</c:v>
                </c:pt>
                <c:pt idx="82">
                  <c:v>0.28999999999999998</c:v>
                </c:pt>
                <c:pt idx="83">
                  <c:v>0.28999999999999998</c:v>
                </c:pt>
                <c:pt idx="84">
                  <c:v>0.28999999999999998</c:v>
                </c:pt>
                <c:pt idx="85">
                  <c:v>0.28999999999999998</c:v>
                </c:pt>
                <c:pt idx="86">
                  <c:v>0.28999999999999998</c:v>
                </c:pt>
                <c:pt idx="87">
                  <c:v>0.28999999999999998</c:v>
                </c:pt>
                <c:pt idx="88">
                  <c:v>0.28999999999999998</c:v>
                </c:pt>
                <c:pt idx="89">
                  <c:v>0.28999999999999998</c:v>
                </c:pt>
                <c:pt idx="90">
                  <c:v>0.28999999999999998</c:v>
                </c:pt>
                <c:pt idx="91">
                  <c:v>0.28999999999999998</c:v>
                </c:pt>
                <c:pt idx="92">
                  <c:v>0.28999999999999998</c:v>
                </c:pt>
                <c:pt idx="93">
                  <c:v>0.28999999999999998</c:v>
                </c:pt>
                <c:pt idx="94">
                  <c:v>0.28999999999999998</c:v>
                </c:pt>
                <c:pt idx="95">
                  <c:v>0.28999999999999998</c:v>
                </c:pt>
                <c:pt idx="96">
                  <c:v>0.28999999999999998</c:v>
                </c:pt>
                <c:pt idx="97">
                  <c:v>0.28999999999999998</c:v>
                </c:pt>
                <c:pt idx="98">
                  <c:v>0.28999999999999998</c:v>
                </c:pt>
                <c:pt idx="99">
                  <c:v>0.28999999999999998</c:v>
                </c:pt>
                <c:pt idx="100">
                  <c:v>0.28999999999999998</c:v>
                </c:pt>
              </c:numCache>
            </c:numRef>
          </c:val>
          <c:smooth val="0"/>
          <c:extLst>
            <c:ext xmlns:c16="http://schemas.microsoft.com/office/drawing/2014/chart" uri="{C3380CC4-5D6E-409C-BE32-E72D297353CC}">
              <c16:uniqueId val="{00000002-626A-4404-BC31-C37F9B4590FB}"/>
            </c:ext>
          </c:extLst>
        </c:ser>
        <c:dLbls>
          <c:showLegendKey val="0"/>
          <c:showVal val="0"/>
          <c:showCatName val="0"/>
          <c:showSerName val="0"/>
          <c:showPercent val="0"/>
          <c:showBubbleSize val="0"/>
        </c:dLbls>
        <c:smooth val="0"/>
        <c:axId val="141905920"/>
        <c:axId val="141907840"/>
      </c:lineChart>
      <c:catAx>
        <c:axId val="141905920"/>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cs-CZ"/>
          </a:p>
        </c:txPr>
        <c:crossAx val="141907840"/>
        <c:crosses val="autoZero"/>
        <c:auto val="1"/>
        <c:lblAlgn val="ctr"/>
        <c:lblOffset val="100"/>
        <c:tickLblSkip val="20"/>
        <c:tickMarkSkip val="10"/>
        <c:noMultiLvlLbl val="0"/>
      </c:catAx>
      <c:valAx>
        <c:axId val="141907840"/>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cs-CZ"/>
          </a:p>
        </c:txPr>
        <c:crossAx val="14190592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cs-CZ"/>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cs-CZ"/>
    </a:p>
  </c:txPr>
  <c:printSettings>
    <c:headerFooter alignWithMargins="0"/>
    <c:pageMargins b="1" l="0.750000000000006" r="0.750000000000006" t="1" header="0.5" footer="0.5"/>
    <c:pageSetup paperSize="5"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Single'!$AN$110:$AN$210</c:f>
              <c:numCache>
                <c:formatCode>0.0</c:formatCode>
                <c:ptCount val="101"/>
                <c:pt idx="0">
                  <c:v>10</c:v>
                </c:pt>
                <c:pt idx="1">
                  <c:v>10</c:v>
                </c:pt>
                <c:pt idx="2">
                  <c:v>10</c:v>
                </c:pt>
                <c:pt idx="3">
                  <c:v>10</c:v>
                </c:pt>
                <c:pt idx="4">
                  <c:v>11.328505026483622</c:v>
                </c:pt>
                <c:pt idx="5">
                  <c:v>14.16063128310453</c:v>
                </c:pt>
                <c:pt idx="6">
                  <c:v>16.992757539725432</c:v>
                </c:pt>
                <c:pt idx="7">
                  <c:v>19.824883796346342</c:v>
                </c:pt>
                <c:pt idx="8">
                  <c:v>22.657010052967244</c:v>
                </c:pt>
                <c:pt idx="9">
                  <c:v>25.489136309588147</c:v>
                </c:pt>
                <c:pt idx="10">
                  <c:v>28.321262566209061</c:v>
                </c:pt>
                <c:pt idx="11">
                  <c:v>31.15338882282996</c:v>
                </c:pt>
                <c:pt idx="12">
                  <c:v>33.985515079450863</c:v>
                </c:pt>
                <c:pt idx="13">
                  <c:v>36.817641336071773</c:v>
                </c:pt>
                <c:pt idx="14">
                  <c:v>39.649767592692683</c:v>
                </c:pt>
                <c:pt idx="15">
                  <c:v>42.481893849313579</c:v>
                </c:pt>
                <c:pt idx="16">
                  <c:v>45.314020105934489</c:v>
                </c:pt>
                <c:pt idx="17">
                  <c:v>48.146146362555392</c:v>
                </c:pt>
                <c:pt idx="18">
                  <c:v>50.978272619176295</c:v>
                </c:pt>
                <c:pt idx="19">
                  <c:v>53.810398875797212</c:v>
                </c:pt>
                <c:pt idx="20">
                  <c:v>56.642525132418122</c:v>
                </c:pt>
                <c:pt idx="21">
                  <c:v>59.474651389039018</c:v>
                </c:pt>
                <c:pt idx="22">
                  <c:v>62.30677764565992</c:v>
                </c:pt>
                <c:pt idx="23">
                  <c:v>65.13890390228083</c:v>
                </c:pt>
                <c:pt idx="24">
                  <c:v>67.971030158901726</c:v>
                </c:pt>
                <c:pt idx="25">
                  <c:v>70.803156415522636</c:v>
                </c:pt>
                <c:pt idx="26">
                  <c:v>73.635282672143546</c:v>
                </c:pt>
                <c:pt idx="27">
                  <c:v>76.467408928764456</c:v>
                </c:pt>
                <c:pt idx="28">
                  <c:v>79.299535185385366</c:v>
                </c:pt>
                <c:pt idx="29">
                  <c:v>82.131661442006248</c:v>
                </c:pt>
                <c:pt idx="30">
                  <c:v>84.963787698627158</c:v>
                </c:pt>
                <c:pt idx="31">
                  <c:v>87.795913955248068</c:v>
                </c:pt>
                <c:pt idx="32">
                  <c:v>90.628040211868978</c:v>
                </c:pt>
                <c:pt idx="33">
                  <c:v>93.460166468489888</c:v>
                </c:pt>
                <c:pt idx="34">
                  <c:v>96.292292725110784</c:v>
                </c:pt>
                <c:pt idx="35">
                  <c:v>99.124418981731679</c:v>
                </c:pt>
                <c:pt idx="36">
                  <c:v>101.95654523835259</c:v>
                </c:pt>
                <c:pt idx="37">
                  <c:v>104.7886714949735</c:v>
                </c:pt>
                <c:pt idx="38">
                  <c:v>107.62079775159442</c:v>
                </c:pt>
                <c:pt idx="39">
                  <c:v>110.45292400821532</c:v>
                </c:pt>
                <c:pt idx="40">
                  <c:v>113.28505026483624</c:v>
                </c:pt>
                <c:pt idx="41">
                  <c:v>116.11717652145714</c:v>
                </c:pt>
                <c:pt idx="42">
                  <c:v>118.94930277807804</c:v>
                </c:pt>
                <c:pt idx="43">
                  <c:v>121.78142903469895</c:v>
                </c:pt>
                <c:pt idx="44">
                  <c:v>124.61355529131984</c:v>
                </c:pt>
                <c:pt idx="45">
                  <c:v>127.44568154794077</c:v>
                </c:pt>
                <c:pt idx="46">
                  <c:v>130.27780780456166</c:v>
                </c:pt>
                <c:pt idx="47">
                  <c:v>133.10993406118254</c:v>
                </c:pt>
                <c:pt idx="48">
                  <c:v>135.94206031780345</c:v>
                </c:pt>
                <c:pt idx="49">
                  <c:v>138.77418657442439</c:v>
                </c:pt>
                <c:pt idx="50">
                  <c:v>141.60631283104527</c:v>
                </c:pt>
                <c:pt idx="51">
                  <c:v>144.43843908766618</c:v>
                </c:pt>
                <c:pt idx="52">
                  <c:v>147.27056534428709</c:v>
                </c:pt>
                <c:pt idx="53">
                  <c:v>150.102691600908</c:v>
                </c:pt>
                <c:pt idx="54">
                  <c:v>152.93481785752891</c:v>
                </c:pt>
                <c:pt idx="55">
                  <c:v>155.76694411414982</c:v>
                </c:pt>
                <c:pt idx="56">
                  <c:v>158.59907037077073</c:v>
                </c:pt>
                <c:pt idx="57">
                  <c:v>161.43119662739159</c:v>
                </c:pt>
                <c:pt idx="58">
                  <c:v>164.2633228840125</c:v>
                </c:pt>
                <c:pt idx="59">
                  <c:v>167.09544914063341</c:v>
                </c:pt>
                <c:pt idx="60">
                  <c:v>169.92757539725432</c:v>
                </c:pt>
                <c:pt idx="61">
                  <c:v>172.75970165387523</c:v>
                </c:pt>
                <c:pt idx="62">
                  <c:v>175.59182791049614</c:v>
                </c:pt>
                <c:pt idx="63">
                  <c:v>178.42395416711705</c:v>
                </c:pt>
                <c:pt idx="64">
                  <c:v>181.25608042373796</c:v>
                </c:pt>
                <c:pt idx="65">
                  <c:v>184.08820668035887</c:v>
                </c:pt>
                <c:pt idx="66">
                  <c:v>186.92033293697978</c:v>
                </c:pt>
                <c:pt idx="67">
                  <c:v>189.75245919360066</c:v>
                </c:pt>
                <c:pt idx="68">
                  <c:v>192.58458545022157</c:v>
                </c:pt>
                <c:pt idx="69">
                  <c:v>195.41671170684245</c:v>
                </c:pt>
                <c:pt idx="70">
                  <c:v>198.24883796346336</c:v>
                </c:pt>
                <c:pt idx="71">
                  <c:v>201.08096422008427</c:v>
                </c:pt>
                <c:pt idx="72">
                  <c:v>203.91309047670518</c:v>
                </c:pt>
                <c:pt idx="73">
                  <c:v>206.74521673332609</c:v>
                </c:pt>
                <c:pt idx="74">
                  <c:v>209.577342989947</c:v>
                </c:pt>
                <c:pt idx="75">
                  <c:v>212.40946924656794</c:v>
                </c:pt>
                <c:pt idx="76">
                  <c:v>215.24159550318885</c:v>
                </c:pt>
                <c:pt idx="77">
                  <c:v>218.07372175980976</c:v>
                </c:pt>
                <c:pt idx="78">
                  <c:v>220.90584801643064</c:v>
                </c:pt>
                <c:pt idx="79">
                  <c:v>223.73797427305158</c:v>
                </c:pt>
                <c:pt idx="80">
                  <c:v>226.57010052967249</c:v>
                </c:pt>
                <c:pt idx="81">
                  <c:v>229.40222678629337</c:v>
                </c:pt>
                <c:pt idx="82">
                  <c:v>232.23435304291428</c:v>
                </c:pt>
                <c:pt idx="83">
                  <c:v>235.06647929953516</c:v>
                </c:pt>
                <c:pt idx="84">
                  <c:v>237.89860555615607</c:v>
                </c:pt>
                <c:pt idx="85">
                  <c:v>240.73073181277698</c:v>
                </c:pt>
                <c:pt idx="86">
                  <c:v>243.56285806939789</c:v>
                </c:pt>
                <c:pt idx="87">
                  <c:v>246.3949843260188</c:v>
                </c:pt>
                <c:pt idx="88">
                  <c:v>249.22711058263968</c:v>
                </c:pt>
                <c:pt idx="89">
                  <c:v>252.05923683926062</c:v>
                </c:pt>
                <c:pt idx="90">
                  <c:v>254.89136309588153</c:v>
                </c:pt>
                <c:pt idx="91">
                  <c:v>257.72348935250244</c:v>
                </c:pt>
                <c:pt idx="92">
                  <c:v>260.55561560912332</c:v>
                </c:pt>
                <c:pt idx="93">
                  <c:v>263.38774186574426</c:v>
                </c:pt>
                <c:pt idx="94">
                  <c:v>266.21986812236509</c:v>
                </c:pt>
                <c:pt idx="95">
                  <c:v>269.05199437898602</c:v>
                </c:pt>
                <c:pt idx="96">
                  <c:v>271.88412063560691</c:v>
                </c:pt>
                <c:pt idx="97">
                  <c:v>274.71624689222784</c:v>
                </c:pt>
                <c:pt idx="98">
                  <c:v>277.54837314884878</c:v>
                </c:pt>
                <c:pt idx="99">
                  <c:v>280.38049940546961</c:v>
                </c:pt>
                <c:pt idx="100">
                  <c:v>283.21262566209055</c:v>
                </c:pt>
              </c:numCache>
            </c:numRef>
          </c:val>
          <c:smooth val="0"/>
          <c:extLst>
            <c:ext xmlns:c16="http://schemas.microsoft.com/office/drawing/2014/chart" uri="{C3380CC4-5D6E-409C-BE32-E72D297353CC}">
              <c16:uniqueId val="{00000000-9FCD-4D39-BF4A-B5F77087246C}"/>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Single'!$AN$5:$AN$105</c:f>
              <c:numCache>
                <c:formatCode>0.0</c:formatCode>
                <c:ptCount val="101"/>
                <c:pt idx="0">
                  <c:v>10</c:v>
                </c:pt>
                <c:pt idx="1">
                  <c:v>10</c:v>
                </c:pt>
                <c:pt idx="2">
                  <c:v>10</c:v>
                </c:pt>
                <c:pt idx="3">
                  <c:v>10</c:v>
                </c:pt>
                <c:pt idx="4">
                  <c:v>11.328505026483622</c:v>
                </c:pt>
                <c:pt idx="5">
                  <c:v>14.16063128310453</c:v>
                </c:pt>
                <c:pt idx="6">
                  <c:v>16.992757539725432</c:v>
                </c:pt>
                <c:pt idx="7">
                  <c:v>19.824883796346342</c:v>
                </c:pt>
                <c:pt idx="8">
                  <c:v>22.657010052967244</c:v>
                </c:pt>
                <c:pt idx="9">
                  <c:v>25.489136309588147</c:v>
                </c:pt>
                <c:pt idx="10">
                  <c:v>28.321262566209061</c:v>
                </c:pt>
                <c:pt idx="11">
                  <c:v>31.15338882282996</c:v>
                </c:pt>
                <c:pt idx="12">
                  <c:v>33.985515079450863</c:v>
                </c:pt>
                <c:pt idx="13">
                  <c:v>36.817641336071773</c:v>
                </c:pt>
                <c:pt idx="14">
                  <c:v>39.649767592692683</c:v>
                </c:pt>
                <c:pt idx="15">
                  <c:v>42.481893849313579</c:v>
                </c:pt>
                <c:pt idx="16">
                  <c:v>45.314020105934489</c:v>
                </c:pt>
                <c:pt idx="17">
                  <c:v>48.146146362555392</c:v>
                </c:pt>
                <c:pt idx="18">
                  <c:v>50.978272619176295</c:v>
                </c:pt>
                <c:pt idx="19">
                  <c:v>53.810398875797212</c:v>
                </c:pt>
                <c:pt idx="20">
                  <c:v>56.642525132418122</c:v>
                </c:pt>
                <c:pt idx="21">
                  <c:v>59.474651389039018</c:v>
                </c:pt>
                <c:pt idx="22">
                  <c:v>62.30677764565992</c:v>
                </c:pt>
                <c:pt idx="23">
                  <c:v>65.13890390228083</c:v>
                </c:pt>
                <c:pt idx="24">
                  <c:v>67.971030158901726</c:v>
                </c:pt>
                <c:pt idx="25">
                  <c:v>70.803156415522636</c:v>
                </c:pt>
                <c:pt idx="26">
                  <c:v>73.635282672143546</c:v>
                </c:pt>
                <c:pt idx="27">
                  <c:v>76.467408928764456</c:v>
                </c:pt>
                <c:pt idx="28">
                  <c:v>79.299535185385366</c:v>
                </c:pt>
                <c:pt idx="29">
                  <c:v>82.131661442006248</c:v>
                </c:pt>
                <c:pt idx="30">
                  <c:v>84.963787698627158</c:v>
                </c:pt>
                <c:pt idx="31">
                  <c:v>87.795913955248068</c:v>
                </c:pt>
                <c:pt idx="32">
                  <c:v>90.628040211868978</c:v>
                </c:pt>
                <c:pt idx="33">
                  <c:v>93.460166468489888</c:v>
                </c:pt>
                <c:pt idx="34">
                  <c:v>96.292292725110784</c:v>
                </c:pt>
                <c:pt idx="35">
                  <c:v>99.124418981731679</c:v>
                </c:pt>
                <c:pt idx="36">
                  <c:v>101.95654523835259</c:v>
                </c:pt>
                <c:pt idx="37">
                  <c:v>104.7886714949735</c:v>
                </c:pt>
                <c:pt idx="38">
                  <c:v>107.62079775159442</c:v>
                </c:pt>
                <c:pt idx="39">
                  <c:v>110.45292400821532</c:v>
                </c:pt>
                <c:pt idx="40">
                  <c:v>113.28505026483624</c:v>
                </c:pt>
                <c:pt idx="41">
                  <c:v>116.11717652145714</c:v>
                </c:pt>
                <c:pt idx="42">
                  <c:v>118.94930277807804</c:v>
                </c:pt>
                <c:pt idx="43">
                  <c:v>121.78142903469895</c:v>
                </c:pt>
                <c:pt idx="44">
                  <c:v>124.61355529131984</c:v>
                </c:pt>
                <c:pt idx="45">
                  <c:v>127.44568154794077</c:v>
                </c:pt>
                <c:pt idx="46">
                  <c:v>130.27780780456166</c:v>
                </c:pt>
                <c:pt idx="47">
                  <c:v>133.10993406118254</c:v>
                </c:pt>
                <c:pt idx="48">
                  <c:v>135.94206031780345</c:v>
                </c:pt>
                <c:pt idx="49">
                  <c:v>138.77418657442439</c:v>
                </c:pt>
                <c:pt idx="50">
                  <c:v>141.60631283104527</c:v>
                </c:pt>
                <c:pt idx="51">
                  <c:v>144.43843908766618</c:v>
                </c:pt>
                <c:pt idx="52">
                  <c:v>147.27056534428709</c:v>
                </c:pt>
                <c:pt idx="53">
                  <c:v>150.102691600908</c:v>
                </c:pt>
                <c:pt idx="54">
                  <c:v>152.93481785752891</c:v>
                </c:pt>
                <c:pt idx="55">
                  <c:v>155.76694411414982</c:v>
                </c:pt>
                <c:pt idx="56">
                  <c:v>158.59907037077073</c:v>
                </c:pt>
                <c:pt idx="57">
                  <c:v>161.43119662739159</c:v>
                </c:pt>
                <c:pt idx="58">
                  <c:v>164.2633228840125</c:v>
                </c:pt>
                <c:pt idx="59">
                  <c:v>167.09544914063341</c:v>
                </c:pt>
                <c:pt idx="60">
                  <c:v>169.92757539725432</c:v>
                </c:pt>
                <c:pt idx="61">
                  <c:v>172.75970165387523</c:v>
                </c:pt>
                <c:pt idx="62">
                  <c:v>175.59182791049614</c:v>
                </c:pt>
                <c:pt idx="63">
                  <c:v>178.42395416711705</c:v>
                </c:pt>
                <c:pt idx="64">
                  <c:v>181.25608042373796</c:v>
                </c:pt>
                <c:pt idx="65">
                  <c:v>184.08820668035887</c:v>
                </c:pt>
                <c:pt idx="66">
                  <c:v>186.92033293697978</c:v>
                </c:pt>
                <c:pt idx="67">
                  <c:v>189.75245919360066</c:v>
                </c:pt>
                <c:pt idx="68">
                  <c:v>192.58458545022157</c:v>
                </c:pt>
                <c:pt idx="69">
                  <c:v>195.41671170684245</c:v>
                </c:pt>
                <c:pt idx="70">
                  <c:v>198.24883796346336</c:v>
                </c:pt>
                <c:pt idx="71">
                  <c:v>201.08096422008427</c:v>
                </c:pt>
                <c:pt idx="72">
                  <c:v>203.91309047670518</c:v>
                </c:pt>
                <c:pt idx="73">
                  <c:v>206.74521673332609</c:v>
                </c:pt>
                <c:pt idx="74">
                  <c:v>209.577342989947</c:v>
                </c:pt>
                <c:pt idx="75">
                  <c:v>212.40946924656794</c:v>
                </c:pt>
                <c:pt idx="76">
                  <c:v>215.24159550318885</c:v>
                </c:pt>
                <c:pt idx="77">
                  <c:v>218.07372175980976</c:v>
                </c:pt>
                <c:pt idx="78">
                  <c:v>220.90584801643064</c:v>
                </c:pt>
                <c:pt idx="79">
                  <c:v>223.73797427305158</c:v>
                </c:pt>
                <c:pt idx="80">
                  <c:v>226.57010052967249</c:v>
                </c:pt>
                <c:pt idx="81">
                  <c:v>229.40222678629337</c:v>
                </c:pt>
                <c:pt idx="82">
                  <c:v>232.23435304291428</c:v>
                </c:pt>
                <c:pt idx="83">
                  <c:v>235.06647929953516</c:v>
                </c:pt>
                <c:pt idx="84">
                  <c:v>237.89860555615607</c:v>
                </c:pt>
                <c:pt idx="85">
                  <c:v>240.73073181277698</c:v>
                </c:pt>
                <c:pt idx="86">
                  <c:v>243.56285806939789</c:v>
                </c:pt>
                <c:pt idx="87">
                  <c:v>246.3949843260188</c:v>
                </c:pt>
                <c:pt idx="88">
                  <c:v>249.22711058263968</c:v>
                </c:pt>
                <c:pt idx="89">
                  <c:v>252.05923683926062</c:v>
                </c:pt>
                <c:pt idx="90">
                  <c:v>254.89136309588153</c:v>
                </c:pt>
                <c:pt idx="91">
                  <c:v>257.72348935250244</c:v>
                </c:pt>
                <c:pt idx="92">
                  <c:v>260.55561560912332</c:v>
                </c:pt>
                <c:pt idx="93">
                  <c:v>263.38774186574426</c:v>
                </c:pt>
                <c:pt idx="94">
                  <c:v>266.21986812236509</c:v>
                </c:pt>
                <c:pt idx="95">
                  <c:v>269.05199437898602</c:v>
                </c:pt>
                <c:pt idx="96">
                  <c:v>271.88412063560691</c:v>
                </c:pt>
                <c:pt idx="97">
                  <c:v>274.71624689222784</c:v>
                </c:pt>
                <c:pt idx="98">
                  <c:v>277.54837314884878</c:v>
                </c:pt>
                <c:pt idx="99">
                  <c:v>280.38049940546961</c:v>
                </c:pt>
                <c:pt idx="100">
                  <c:v>283.21262566209055</c:v>
                </c:pt>
              </c:numCache>
            </c:numRef>
          </c:val>
          <c:smooth val="0"/>
          <c:extLst>
            <c:ext xmlns:c16="http://schemas.microsoft.com/office/drawing/2014/chart" uri="{C3380CC4-5D6E-409C-BE32-E72D297353CC}">
              <c16:uniqueId val="{00000001-9FCD-4D39-BF4A-B5F77087246C}"/>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Single'!$AN$216:$AN$316</c:f>
              <c:numCache>
                <c:formatCode>0.0</c:formatCode>
                <c:ptCount val="101"/>
                <c:pt idx="0">
                  <c:v>10</c:v>
                </c:pt>
                <c:pt idx="1">
                  <c:v>10</c:v>
                </c:pt>
                <c:pt idx="2">
                  <c:v>10</c:v>
                </c:pt>
                <c:pt idx="3">
                  <c:v>10</c:v>
                </c:pt>
                <c:pt idx="4">
                  <c:v>11.328505026483622</c:v>
                </c:pt>
                <c:pt idx="5">
                  <c:v>14.16063128310453</c:v>
                </c:pt>
                <c:pt idx="6">
                  <c:v>16.992757539725432</c:v>
                </c:pt>
                <c:pt idx="7">
                  <c:v>19.824883796346342</c:v>
                </c:pt>
                <c:pt idx="8">
                  <c:v>22.657010052967244</c:v>
                </c:pt>
                <c:pt idx="9">
                  <c:v>25.489136309588147</c:v>
                </c:pt>
                <c:pt idx="10">
                  <c:v>28.321262566209061</c:v>
                </c:pt>
                <c:pt idx="11">
                  <c:v>31.15338882282996</c:v>
                </c:pt>
                <c:pt idx="12">
                  <c:v>33.985515079450863</c:v>
                </c:pt>
                <c:pt idx="13">
                  <c:v>36.817641336071773</c:v>
                </c:pt>
                <c:pt idx="14">
                  <c:v>39.649767592692683</c:v>
                </c:pt>
                <c:pt idx="15">
                  <c:v>42.481893849313579</c:v>
                </c:pt>
                <c:pt idx="16">
                  <c:v>45.314020105934489</c:v>
                </c:pt>
                <c:pt idx="17">
                  <c:v>48.146146362555392</c:v>
                </c:pt>
                <c:pt idx="18">
                  <c:v>50.978272619176295</c:v>
                </c:pt>
                <c:pt idx="19">
                  <c:v>53.810398875797212</c:v>
                </c:pt>
                <c:pt idx="20">
                  <c:v>56.642525132418122</c:v>
                </c:pt>
                <c:pt idx="21">
                  <c:v>59.474651389039018</c:v>
                </c:pt>
                <c:pt idx="22">
                  <c:v>62.30677764565992</c:v>
                </c:pt>
                <c:pt idx="23">
                  <c:v>65.13890390228083</c:v>
                </c:pt>
                <c:pt idx="24">
                  <c:v>67.971030158901726</c:v>
                </c:pt>
                <c:pt idx="25">
                  <c:v>70.803156415522636</c:v>
                </c:pt>
                <c:pt idx="26">
                  <c:v>73.635282672143546</c:v>
                </c:pt>
                <c:pt idx="27">
                  <c:v>76.467408928764456</c:v>
                </c:pt>
                <c:pt idx="28">
                  <c:v>79.299535185385366</c:v>
                </c:pt>
                <c:pt idx="29">
                  <c:v>82.131661442006248</c:v>
                </c:pt>
                <c:pt idx="30">
                  <c:v>84.963787698627158</c:v>
                </c:pt>
                <c:pt idx="31">
                  <c:v>87.795913955248068</c:v>
                </c:pt>
                <c:pt idx="32">
                  <c:v>90.628040211868978</c:v>
                </c:pt>
                <c:pt idx="33">
                  <c:v>93.460166468489888</c:v>
                </c:pt>
                <c:pt idx="34">
                  <c:v>96.292292725110784</c:v>
                </c:pt>
                <c:pt idx="35">
                  <c:v>99.124418981731679</c:v>
                </c:pt>
                <c:pt idx="36">
                  <c:v>101.95654523835259</c:v>
                </c:pt>
                <c:pt idx="37">
                  <c:v>104.7886714949735</c:v>
                </c:pt>
                <c:pt idx="38">
                  <c:v>107.62079775159442</c:v>
                </c:pt>
                <c:pt idx="39">
                  <c:v>110.45292400821532</c:v>
                </c:pt>
                <c:pt idx="40">
                  <c:v>113.28505026483624</c:v>
                </c:pt>
                <c:pt idx="41">
                  <c:v>116.11717652145714</c:v>
                </c:pt>
                <c:pt idx="42">
                  <c:v>118.94930277807804</c:v>
                </c:pt>
                <c:pt idx="43">
                  <c:v>121.78142903469895</c:v>
                </c:pt>
                <c:pt idx="44">
                  <c:v>124.61355529131984</c:v>
                </c:pt>
                <c:pt idx="45">
                  <c:v>127.44568154794077</c:v>
                </c:pt>
                <c:pt idx="46">
                  <c:v>130.27780780456166</c:v>
                </c:pt>
                <c:pt idx="47">
                  <c:v>133.10993406118254</c:v>
                </c:pt>
                <c:pt idx="48">
                  <c:v>135.94206031780345</c:v>
                </c:pt>
                <c:pt idx="49">
                  <c:v>138.77418657442439</c:v>
                </c:pt>
                <c:pt idx="50">
                  <c:v>141.60631283104527</c:v>
                </c:pt>
                <c:pt idx="51">
                  <c:v>144.43843908766618</c:v>
                </c:pt>
                <c:pt idx="52">
                  <c:v>147.27056534428709</c:v>
                </c:pt>
                <c:pt idx="53">
                  <c:v>150.102691600908</c:v>
                </c:pt>
                <c:pt idx="54">
                  <c:v>152.93481785752891</c:v>
                </c:pt>
                <c:pt idx="55">
                  <c:v>155.76694411414982</c:v>
                </c:pt>
                <c:pt idx="56">
                  <c:v>158.59907037077073</c:v>
                </c:pt>
                <c:pt idx="57">
                  <c:v>161.43119662739159</c:v>
                </c:pt>
                <c:pt idx="58">
                  <c:v>164.2633228840125</c:v>
                </c:pt>
                <c:pt idx="59">
                  <c:v>167.09544914063341</c:v>
                </c:pt>
                <c:pt idx="60">
                  <c:v>169.92757539725432</c:v>
                </c:pt>
                <c:pt idx="61">
                  <c:v>172.75970165387523</c:v>
                </c:pt>
                <c:pt idx="62">
                  <c:v>175.59182791049614</c:v>
                </c:pt>
                <c:pt idx="63">
                  <c:v>178.42395416711705</c:v>
                </c:pt>
                <c:pt idx="64">
                  <c:v>181.25608042373796</c:v>
                </c:pt>
                <c:pt idx="65">
                  <c:v>184.08820668035887</c:v>
                </c:pt>
                <c:pt idx="66">
                  <c:v>186.92033293697978</c:v>
                </c:pt>
                <c:pt idx="67">
                  <c:v>189.75245919360066</c:v>
                </c:pt>
                <c:pt idx="68">
                  <c:v>192.58458545022157</c:v>
                </c:pt>
                <c:pt idx="69">
                  <c:v>195.41671170684245</c:v>
                </c:pt>
                <c:pt idx="70">
                  <c:v>198.24883796346336</c:v>
                </c:pt>
                <c:pt idx="71">
                  <c:v>201.08096422008427</c:v>
                </c:pt>
                <c:pt idx="72">
                  <c:v>203.91309047670518</c:v>
                </c:pt>
                <c:pt idx="73">
                  <c:v>206.74521673332609</c:v>
                </c:pt>
                <c:pt idx="74">
                  <c:v>209.577342989947</c:v>
                </c:pt>
                <c:pt idx="75">
                  <c:v>212.40946924656794</c:v>
                </c:pt>
                <c:pt idx="76">
                  <c:v>215.24159550318885</c:v>
                </c:pt>
                <c:pt idx="77">
                  <c:v>218.07372175980976</c:v>
                </c:pt>
                <c:pt idx="78">
                  <c:v>220.90584801643064</c:v>
                </c:pt>
                <c:pt idx="79">
                  <c:v>223.73797427305158</c:v>
                </c:pt>
                <c:pt idx="80">
                  <c:v>226.57010052967249</c:v>
                </c:pt>
                <c:pt idx="81">
                  <c:v>229.40222678629337</c:v>
                </c:pt>
                <c:pt idx="82">
                  <c:v>232.23435304291428</c:v>
                </c:pt>
                <c:pt idx="83">
                  <c:v>235.06647929953516</c:v>
                </c:pt>
                <c:pt idx="84">
                  <c:v>237.89860555615607</c:v>
                </c:pt>
                <c:pt idx="85">
                  <c:v>240.73073181277698</c:v>
                </c:pt>
                <c:pt idx="86">
                  <c:v>243.56285806939789</c:v>
                </c:pt>
                <c:pt idx="87">
                  <c:v>246.3949843260188</c:v>
                </c:pt>
                <c:pt idx="88">
                  <c:v>249.22711058263968</c:v>
                </c:pt>
                <c:pt idx="89">
                  <c:v>252.05923683926062</c:v>
                </c:pt>
                <c:pt idx="90">
                  <c:v>254.89136309588153</c:v>
                </c:pt>
                <c:pt idx="91">
                  <c:v>257.72348935250244</c:v>
                </c:pt>
                <c:pt idx="92">
                  <c:v>260.55561560912332</c:v>
                </c:pt>
                <c:pt idx="93">
                  <c:v>263.38774186574426</c:v>
                </c:pt>
                <c:pt idx="94">
                  <c:v>266.21986812236509</c:v>
                </c:pt>
                <c:pt idx="95">
                  <c:v>269.05199437898602</c:v>
                </c:pt>
                <c:pt idx="96">
                  <c:v>271.88412063560691</c:v>
                </c:pt>
                <c:pt idx="97">
                  <c:v>274.71624689222784</c:v>
                </c:pt>
                <c:pt idx="98">
                  <c:v>277.54837314884878</c:v>
                </c:pt>
                <c:pt idx="99">
                  <c:v>280.38049940546961</c:v>
                </c:pt>
                <c:pt idx="100">
                  <c:v>283.21262566209055</c:v>
                </c:pt>
              </c:numCache>
            </c:numRef>
          </c:val>
          <c:smooth val="0"/>
          <c:extLst>
            <c:ext xmlns:c16="http://schemas.microsoft.com/office/drawing/2014/chart" uri="{C3380CC4-5D6E-409C-BE32-E72D297353CC}">
              <c16:uniqueId val="{00000002-9FCD-4D39-BF4A-B5F77087246C}"/>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Single'!$CB$110:$CB$210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9FCD-4D39-BF4A-B5F77087246C}"/>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Single'!$CB$5:$CB$105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9FCD-4D39-BF4A-B5F77087246C}"/>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Single'!$CB$216:$CB$316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9FCD-4D39-BF4A-B5F77087246C}"/>
            </c:ext>
          </c:extLst>
        </c:ser>
        <c:dLbls>
          <c:showLegendKey val="0"/>
          <c:showVal val="0"/>
          <c:showCatName val="0"/>
          <c:showSerName val="0"/>
          <c:showPercent val="0"/>
          <c:showBubbleSize val="0"/>
        </c:dLbls>
        <c:smooth val="0"/>
        <c:axId val="145314944"/>
        <c:axId val="145317248"/>
      </c:lineChart>
      <c:catAx>
        <c:axId val="145314944"/>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cs-CZ"/>
          </a:p>
        </c:txPr>
        <c:crossAx val="145317248"/>
        <c:crosses val="autoZero"/>
        <c:auto val="1"/>
        <c:lblAlgn val="ctr"/>
        <c:lblOffset val="100"/>
        <c:tickLblSkip val="20"/>
        <c:tickMarkSkip val="10"/>
        <c:noMultiLvlLbl val="0"/>
      </c:catAx>
      <c:valAx>
        <c:axId val="145317248"/>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cs-CZ"/>
          </a:p>
        </c:txPr>
        <c:crossAx val="145314944"/>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cs-CZ"/>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cs-CZ"/>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c:v>
                </c:pt>
                <c:pt idx="2">
                  <c:v>19.150568020960407</c:v>
                </c:pt>
                <c:pt idx="3">
                  <c:v>28.725852031440606</c:v>
                </c:pt>
                <c:pt idx="4">
                  <c:v>38.301136041920813</c:v>
                </c:pt>
                <c:pt idx="5">
                  <c:v>47.876420052401031</c:v>
                </c:pt>
                <c:pt idx="6">
                  <c:v>57.451704062881213</c:v>
                </c:pt>
                <c:pt idx="7">
                  <c:v>67.026988073361437</c:v>
                </c:pt>
                <c:pt idx="8">
                  <c:v>76.602272083841626</c:v>
                </c:pt>
                <c:pt idx="9">
                  <c:v>86.17755609432183</c:v>
                </c:pt>
                <c:pt idx="10">
                  <c:v>95.752840104802061</c:v>
                </c:pt>
                <c:pt idx="11">
                  <c:v>105.32812411528224</c:v>
                </c:pt>
                <c:pt idx="12">
                  <c:v>114.90340812576243</c:v>
                </c:pt>
                <c:pt idx="13">
                  <c:v>124.47869213624266</c:v>
                </c:pt>
                <c:pt idx="14">
                  <c:v>134.05397614672287</c:v>
                </c:pt>
                <c:pt idx="15">
                  <c:v>143.62926015720305</c:v>
                </c:pt>
                <c:pt idx="16">
                  <c:v>153.20454416768325</c:v>
                </c:pt>
                <c:pt idx="17">
                  <c:v>162.77982817816346</c:v>
                </c:pt>
                <c:pt idx="18">
                  <c:v>172.35511218864366</c:v>
                </c:pt>
                <c:pt idx="19">
                  <c:v>181.93039619912389</c:v>
                </c:pt>
                <c:pt idx="20">
                  <c:v>191.50568020960412</c:v>
                </c:pt>
                <c:pt idx="21">
                  <c:v>201.08096422008427</c:v>
                </c:pt>
                <c:pt idx="22">
                  <c:v>210.65624823056447</c:v>
                </c:pt>
                <c:pt idx="23">
                  <c:v>220.23153224104468</c:v>
                </c:pt>
                <c:pt idx="24">
                  <c:v>229.80681625152485</c:v>
                </c:pt>
                <c:pt idx="25">
                  <c:v>239.38210026200508</c:v>
                </c:pt>
                <c:pt idx="26">
                  <c:v>248.95738427248531</c:v>
                </c:pt>
                <c:pt idx="27">
                  <c:v>258.53266828296552</c:v>
                </c:pt>
                <c:pt idx="28">
                  <c:v>268.10795229344575</c:v>
                </c:pt>
                <c:pt idx="29">
                  <c:v>277.68323630392587</c:v>
                </c:pt>
                <c:pt idx="30">
                  <c:v>287.2585203144061</c:v>
                </c:pt>
                <c:pt idx="31">
                  <c:v>296.83380432488633</c:v>
                </c:pt>
                <c:pt idx="32">
                  <c:v>306.4090883353665</c:v>
                </c:pt>
                <c:pt idx="33">
                  <c:v>315.98437234584674</c:v>
                </c:pt>
                <c:pt idx="34">
                  <c:v>325.55965635632691</c:v>
                </c:pt>
                <c:pt idx="35">
                  <c:v>335.13494036680709</c:v>
                </c:pt>
                <c:pt idx="36">
                  <c:v>344.71022437728732</c:v>
                </c:pt>
                <c:pt idx="37">
                  <c:v>333.87748105808538</c:v>
                </c:pt>
                <c:pt idx="38">
                  <c:v>325.09123155655669</c:v>
                </c:pt>
                <c:pt idx="39">
                  <c:v>316.75555895254246</c:v>
                </c:pt>
                <c:pt idx="40">
                  <c:v>308.83666997872893</c:v>
                </c:pt>
                <c:pt idx="41">
                  <c:v>301.30406827193076</c:v>
                </c:pt>
                <c:pt idx="42">
                  <c:v>294.13016188450371</c:v>
                </c:pt>
                <c:pt idx="43">
                  <c:v>287.28992556160824</c:v>
                </c:pt>
                <c:pt idx="44">
                  <c:v>280.76060907157182</c:v>
                </c:pt>
                <c:pt idx="45">
                  <c:v>274.52148442553681</c:v>
                </c:pt>
                <c:pt idx="46">
                  <c:v>268.55362606845989</c:v>
                </c:pt>
                <c:pt idx="47">
                  <c:v>262.83971913083315</c:v>
                </c:pt>
                <c:pt idx="48">
                  <c:v>257.36389164894081</c:v>
                </c:pt>
                <c:pt idx="49">
                  <c:v>252.11156732957463</c:v>
                </c:pt>
                <c:pt idx="50">
                  <c:v>247.06933598298315</c:v>
                </c:pt>
                <c:pt idx="51">
                  <c:v>242.22483919900304</c:v>
                </c:pt>
                <c:pt idx="52">
                  <c:v>237.5666692144068</c:v>
                </c:pt>
                <c:pt idx="53">
                  <c:v>233.08427922922937</c:v>
                </c:pt>
                <c:pt idx="54">
                  <c:v>228.76790368794732</c:v>
                </c:pt>
                <c:pt idx="55">
                  <c:v>224.60848725725737</c:v>
                </c:pt>
                <c:pt idx="56">
                  <c:v>220.59762141337779</c:v>
                </c:pt>
                <c:pt idx="57">
                  <c:v>216.72748770437119</c:v>
                </c:pt>
                <c:pt idx="58">
                  <c:v>212.99080688188207</c:v>
                </c:pt>
                <c:pt idx="59">
                  <c:v>209.38079320591794</c:v>
                </c:pt>
                <c:pt idx="60">
                  <c:v>205.89111331915265</c:v>
                </c:pt>
                <c:pt idx="61">
                  <c:v>202.51584916637964</c:v>
                </c:pt>
                <c:pt idx="62">
                  <c:v>199.2494645024058</c:v>
                </c:pt>
                <c:pt idx="63">
                  <c:v>196.08677458966918</c:v>
                </c:pt>
                <c:pt idx="64">
                  <c:v>193.02291873670561</c:v>
                </c:pt>
                <c:pt idx="65">
                  <c:v>190.05333537152549</c:v>
                </c:pt>
                <c:pt idx="66">
                  <c:v>187.17373938104785</c:v>
                </c:pt>
                <c:pt idx="67">
                  <c:v>184.38010147983815</c:v>
                </c:pt>
                <c:pt idx="68">
                  <c:v>181.66862939925232</c:v>
                </c:pt>
                <c:pt idx="69">
                  <c:v>179.03575071230668</c:v>
                </c:pt>
                <c:pt idx="70">
                  <c:v>176.47809713070228</c:v>
                </c:pt>
                <c:pt idx="71">
                  <c:v>173.99249012886139</c:v>
                </c:pt>
                <c:pt idx="72">
                  <c:v>171.57592776596056</c:v>
                </c:pt>
                <c:pt idx="73">
                  <c:v>169.22557259108433</c:v>
                </c:pt>
                <c:pt idx="74">
                  <c:v>166.93874052904269</c:v>
                </c:pt>
                <c:pt idx="75">
                  <c:v>164.71289065532207</c:v>
                </c:pt>
                <c:pt idx="76">
                  <c:v>162.54561577827835</c:v>
                </c:pt>
                <c:pt idx="77">
                  <c:v>160.43463375518382</c:v>
                </c:pt>
                <c:pt idx="78">
                  <c:v>158.37777947627123</c:v>
                </c:pt>
                <c:pt idx="79">
                  <c:v>156.37299745758423</c:v>
                </c:pt>
                <c:pt idx="80">
                  <c:v>154.41833498936447</c:v>
                </c:pt>
                <c:pt idx="81">
                  <c:v>152.5119357919649</c:v>
                </c:pt>
                <c:pt idx="82">
                  <c:v>150.65203413596538</c:v>
                </c:pt>
                <c:pt idx="83">
                  <c:v>148.83694938733925</c:v>
                </c:pt>
                <c:pt idx="84">
                  <c:v>147.06508094225185</c:v>
                </c:pt>
                <c:pt idx="85">
                  <c:v>145.33490351940182</c:v>
                </c:pt>
                <c:pt idx="86">
                  <c:v>143.64496278080412</c:v>
                </c:pt>
                <c:pt idx="87">
                  <c:v>141.99387125458799</c:v>
                </c:pt>
                <c:pt idx="88">
                  <c:v>140.38030453578591</c:v>
                </c:pt>
                <c:pt idx="89">
                  <c:v>138.80299774324894</c:v>
                </c:pt>
                <c:pt idx="90">
                  <c:v>137.26074221276841</c:v>
                </c:pt>
                <c:pt idx="91">
                  <c:v>135.75238240823248</c:v>
                </c:pt>
                <c:pt idx="92">
                  <c:v>134.27681303422995</c:v>
                </c:pt>
                <c:pt idx="93">
                  <c:v>132.83297633493711</c:v>
                </c:pt>
                <c:pt idx="94">
                  <c:v>131.41985956541657</c:v>
                </c:pt>
                <c:pt idx="95">
                  <c:v>130.03649262262269</c:v>
                </c:pt>
                <c:pt idx="96">
                  <c:v>128.6819458244704</c:v>
                </c:pt>
                <c:pt idx="97">
                  <c:v>127.35532782627995</c:v>
                </c:pt>
                <c:pt idx="98">
                  <c:v>126.05578366478731</c:v>
                </c:pt>
                <c:pt idx="99">
                  <c:v>124.78249292069852</c:v>
                </c:pt>
                <c:pt idx="100">
                  <c:v>123.53466799149157</c:v>
                </c:pt>
              </c:numCache>
            </c:numRef>
          </c:val>
          <c:smooth val="0"/>
          <c:extLst>
            <c:ext xmlns:c16="http://schemas.microsoft.com/office/drawing/2014/chart" uri="{C3380CC4-5D6E-409C-BE32-E72D297353CC}">
              <c16:uniqueId val="{00000000-4959-4E7C-81DE-96905F47D2CF}"/>
            </c:ext>
          </c:extLst>
        </c:ser>
        <c:ser>
          <c:idx val="0"/>
          <c:order val="1"/>
          <c:tx>
            <c:v>VIN-nom</c:v>
          </c:tx>
          <c:spPr>
            <a:ln w="28575">
              <a:solidFill>
                <a:srgbClr val="FF0000"/>
              </a:solidFill>
              <a:prstDash val="lgDash"/>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c:v>
                </c:pt>
                <c:pt idx="2">
                  <c:v>19.150568020960407</c:v>
                </c:pt>
                <c:pt idx="3">
                  <c:v>28.725852031440606</c:v>
                </c:pt>
                <c:pt idx="4">
                  <c:v>38.301136041920813</c:v>
                </c:pt>
                <c:pt idx="5">
                  <c:v>47.876420052401031</c:v>
                </c:pt>
                <c:pt idx="6">
                  <c:v>57.451704062881213</c:v>
                </c:pt>
                <c:pt idx="7">
                  <c:v>67.026988073361437</c:v>
                </c:pt>
                <c:pt idx="8">
                  <c:v>76.602272083841626</c:v>
                </c:pt>
                <c:pt idx="9">
                  <c:v>86.17755609432183</c:v>
                </c:pt>
                <c:pt idx="10">
                  <c:v>95.752840104802061</c:v>
                </c:pt>
                <c:pt idx="11">
                  <c:v>105.32812411528224</c:v>
                </c:pt>
                <c:pt idx="12">
                  <c:v>114.90340812576243</c:v>
                </c:pt>
                <c:pt idx="13">
                  <c:v>124.47869213624266</c:v>
                </c:pt>
                <c:pt idx="14">
                  <c:v>134.05397614672287</c:v>
                </c:pt>
                <c:pt idx="15">
                  <c:v>143.62926015720305</c:v>
                </c:pt>
                <c:pt idx="16">
                  <c:v>153.20454416768325</c:v>
                </c:pt>
                <c:pt idx="17">
                  <c:v>162.77982817816346</c:v>
                </c:pt>
                <c:pt idx="18">
                  <c:v>172.35511218864366</c:v>
                </c:pt>
                <c:pt idx="19">
                  <c:v>181.93039619912389</c:v>
                </c:pt>
                <c:pt idx="20">
                  <c:v>191.50568020960412</c:v>
                </c:pt>
                <c:pt idx="21">
                  <c:v>201.08096422008427</c:v>
                </c:pt>
                <c:pt idx="22">
                  <c:v>210.65624823056447</c:v>
                </c:pt>
                <c:pt idx="23">
                  <c:v>220.23153224104468</c:v>
                </c:pt>
                <c:pt idx="24">
                  <c:v>229.80681625152485</c:v>
                </c:pt>
                <c:pt idx="25">
                  <c:v>239.38210026200508</c:v>
                </c:pt>
                <c:pt idx="26">
                  <c:v>248.95738427248531</c:v>
                </c:pt>
                <c:pt idx="27">
                  <c:v>258.53266828296552</c:v>
                </c:pt>
                <c:pt idx="28">
                  <c:v>268.10795229344575</c:v>
                </c:pt>
                <c:pt idx="29">
                  <c:v>277.68323630392587</c:v>
                </c:pt>
                <c:pt idx="30">
                  <c:v>287.2585203144061</c:v>
                </c:pt>
                <c:pt idx="31">
                  <c:v>296.83380432488633</c:v>
                </c:pt>
                <c:pt idx="32">
                  <c:v>306.4090883353665</c:v>
                </c:pt>
                <c:pt idx="33">
                  <c:v>315.98437234584674</c:v>
                </c:pt>
                <c:pt idx="34">
                  <c:v>325.55965635632691</c:v>
                </c:pt>
                <c:pt idx="35">
                  <c:v>335.13494036680709</c:v>
                </c:pt>
                <c:pt idx="36">
                  <c:v>344.71022437728732</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349.18886392749778</c:v>
                </c:pt>
                <c:pt idx="80">
                  <c:v>344.824003128404</c:v>
                </c:pt>
                <c:pt idx="81">
                  <c:v>340.56691667002877</c:v>
                </c:pt>
                <c:pt idx="82">
                  <c:v>336.41366158868698</c:v>
                </c:pt>
                <c:pt idx="83">
                  <c:v>332.36048494304003</c:v>
                </c:pt>
                <c:pt idx="84">
                  <c:v>328.40381250324197</c:v>
                </c:pt>
                <c:pt idx="85">
                  <c:v>324.54023823849792</c:v>
                </c:pt>
                <c:pt idx="86">
                  <c:v>320.76651453805027</c:v>
                </c:pt>
                <c:pt idx="87">
                  <c:v>317.07954310657857</c:v>
                </c:pt>
                <c:pt idx="88">
                  <c:v>313.4763664803674</c:v>
                </c:pt>
                <c:pt idx="89">
                  <c:v>309.95416011541937</c:v>
                </c:pt>
                <c:pt idx="90">
                  <c:v>306.51022500302582</c:v>
                </c:pt>
                <c:pt idx="91">
                  <c:v>303.14198077222329</c:v>
                </c:pt>
                <c:pt idx="92">
                  <c:v>299.84695924209046</c:v>
                </c:pt>
                <c:pt idx="93">
                  <c:v>296.62279839002503</c:v>
                </c:pt>
                <c:pt idx="94">
                  <c:v>293.46723670502479</c:v>
                </c:pt>
                <c:pt idx="95">
                  <c:v>290.37810789760346</c:v>
                </c:pt>
                <c:pt idx="96">
                  <c:v>287.35333594033676</c:v>
                </c:pt>
                <c:pt idx="97">
                  <c:v>284.39093041517867</c:v>
                </c:pt>
                <c:pt idx="98">
                  <c:v>281.48898214563599</c:v>
                </c:pt>
                <c:pt idx="99">
                  <c:v>278.64565909365984</c:v>
                </c:pt>
                <c:pt idx="100">
                  <c:v>275.85920250272329</c:v>
                </c:pt>
              </c:numCache>
            </c:numRef>
          </c:val>
          <c:smooth val="0"/>
          <c:extLst>
            <c:ext xmlns:c16="http://schemas.microsoft.com/office/drawing/2014/chart" uri="{C3380CC4-5D6E-409C-BE32-E72D297353CC}">
              <c16:uniqueId val="{00000001-4959-4E7C-81DE-96905F47D2CF}"/>
            </c:ext>
          </c:extLst>
        </c:ser>
        <c:ser>
          <c:idx val="2"/>
          <c:order val="2"/>
          <c:tx>
            <c:v>VIN-max</c:v>
          </c:tx>
          <c:spPr>
            <a:ln>
              <a:solidFill>
                <a:srgbClr val="0000FF"/>
              </a:solidFill>
              <a:prstDash val="solid"/>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c:v>
                </c:pt>
                <c:pt idx="2">
                  <c:v>19.150568020960407</c:v>
                </c:pt>
                <c:pt idx="3">
                  <c:v>28.725852031440606</c:v>
                </c:pt>
                <c:pt idx="4">
                  <c:v>38.301136041920813</c:v>
                </c:pt>
                <c:pt idx="5">
                  <c:v>47.876420052401031</c:v>
                </c:pt>
                <c:pt idx="6">
                  <c:v>57.451704062881213</c:v>
                </c:pt>
                <c:pt idx="7">
                  <c:v>67.026988073361437</c:v>
                </c:pt>
                <c:pt idx="8">
                  <c:v>76.602272083841626</c:v>
                </c:pt>
                <c:pt idx="9">
                  <c:v>86.17755609432183</c:v>
                </c:pt>
                <c:pt idx="10">
                  <c:v>95.752840104802061</c:v>
                </c:pt>
                <c:pt idx="11">
                  <c:v>105.32812411528224</c:v>
                </c:pt>
                <c:pt idx="12">
                  <c:v>114.90340812576243</c:v>
                </c:pt>
                <c:pt idx="13">
                  <c:v>124.47869213624266</c:v>
                </c:pt>
                <c:pt idx="14">
                  <c:v>134.05397614672287</c:v>
                </c:pt>
                <c:pt idx="15">
                  <c:v>143.62926015720305</c:v>
                </c:pt>
                <c:pt idx="16">
                  <c:v>153.20454416768325</c:v>
                </c:pt>
                <c:pt idx="17">
                  <c:v>162.77982817816346</c:v>
                </c:pt>
                <c:pt idx="18">
                  <c:v>172.35511218864366</c:v>
                </c:pt>
                <c:pt idx="19">
                  <c:v>181.93039619912389</c:v>
                </c:pt>
                <c:pt idx="20">
                  <c:v>191.50568020960412</c:v>
                </c:pt>
                <c:pt idx="21">
                  <c:v>201.08096422008427</c:v>
                </c:pt>
                <c:pt idx="22">
                  <c:v>210.65624823056447</c:v>
                </c:pt>
                <c:pt idx="23">
                  <c:v>220.23153224104468</c:v>
                </c:pt>
                <c:pt idx="24">
                  <c:v>229.80681625152485</c:v>
                </c:pt>
                <c:pt idx="25">
                  <c:v>239.38210026200508</c:v>
                </c:pt>
                <c:pt idx="26">
                  <c:v>248.95738427248531</c:v>
                </c:pt>
                <c:pt idx="27">
                  <c:v>258.53266828296552</c:v>
                </c:pt>
                <c:pt idx="28">
                  <c:v>268.10795229344575</c:v>
                </c:pt>
                <c:pt idx="29">
                  <c:v>277.68323630392587</c:v>
                </c:pt>
                <c:pt idx="30">
                  <c:v>287.2585203144061</c:v>
                </c:pt>
                <c:pt idx="31">
                  <c:v>296.83380432488633</c:v>
                </c:pt>
                <c:pt idx="32">
                  <c:v>306.4090883353665</c:v>
                </c:pt>
                <c:pt idx="33">
                  <c:v>315.98437234584674</c:v>
                </c:pt>
                <c:pt idx="34">
                  <c:v>325.55965635632691</c:v>
                </c:pt>
                <c:pt idx="35">
                  <c:v>335.13494036680709</c:v>
                </c:pt>
                <c:pt idx="36">
                  <c:v>344.71022437728732</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4959-4E7C-81DE-96905F47D2CF}"/>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Dual'!$CB$110:$CB$210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4959-4E7C-81DE-96905F47D2CF}"/>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4959-4E7C-81DE-96905F47D2CF}"/>
              </c:ext>
            </c:extLst>
          </c:dPt>
          <c:dPt>
            <c:idx val="92"/>
            <c:bubble3D val="0"/>
            <c:extLst>
              <c:ext xmlns:c16="http://schemas.microsoft.com/office/drawing/2014/chart" uri="{C3380CC4-5D6E-409C-BE32-E72D297353CC}">
                <c16:uniqueId val="{00000005-4959-4E7C-81DE-96905F47D2CF}"/>
              </c:ext>
            </c:extLst>
          </c:dPt>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4959-4E7C-81DE-96905F47D2CF}"/>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Dual'!$CB$216:$CB$316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4959-4E7C-81DE-96905F47D2CF}"/>
            </c:ext>
          </c:extLst>
        </c:ser>
        <c:dLbls>
          <c:showLegendKey val="0"/>
          <c:showVal val="0"/>
          <c:showCatName val="0"/>
          <c:showSerName val="0"/>
          <c:showPercent val="0"/>
          <c:showBubbleSize val="0"/>
        </c:dLbls>
        <c:smooth val="0"/>
        <c:axId val="145137664"/>
        <c:axId val="145139968"/>
      </c:lineChart>
      <c:catAx>
        <c:axId val="145137664"/>
        <c:scaling>
          <c:orientation val="minMax"/>
        </c:scaling>
        <c:delete val="0"/>
        <c:axPos val="b"/>
        <c:majorGridlines>
          <c:spPr>
            <a:ln w="15875">
              <a:solidFill>
                <a:srgbClr val="969696"/>
              </a:solidFill>
              <a:prstDash val="sysDash"/>
            </a:ln>
          </c:spPr>
        </c:majorGridlines>
        <c:title>
          <c:tx>
            <c:rich>
              <a:bodyPr/>
              <a:lstStyle/>
              <a:p>
                <a:pPr>
                  <a:defRPr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cs-CZ"/>
          </a:p>
        </c:txPr>
        <c:crossAx val="145139968"/>
        <c:crosses val="autoZero"/>
        <c:auto val="1"/>
        <c:lblAlgn val="ctr"/>
        <c:lblOffset val="100"/>
        <c:tickLblSkip val="20"/>
        <c:tickMarkSkip val="10"/>
        <c:noMultiLvlLbl val="0"/>
      </c:catAx>
      <c:valAx>
        <c:axId val="145139968"/>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cs-CZ"/>
          </a:p>
        </c:txPr>
        <c:crossAx val="145137664"/>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cs-CZ"/>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cs-CZ"/>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1.0057142857142858</c:v>
                </c:pt>
                <c:pt idx="1">
                  <c:v>1.0057142857142858</c:v>
                </c:pt>
                <c:pt idx="2">
                  <c:v>1.0057142857142858</c:v>
                </c:pt>
                <c:pt idx="3">
                  <c:v>1.0057142857142858</c:v>
                </c:pt>
                <c:pt idx="4">
                  <c:v>1.0064734314437049</c:v>
                </c:pt>
                <c:pt idx="5">
                  <c:v>1.0080917893046311</c:v>
                </c:pt>
                <c:pt idx="6">
                  <c:v>1.0097101471655574</c:v>
                </c:pt>
                <c:pt idx="7">
                  <c:v>1.0113285050264835</c:v>
                </c:pt>
                <c:pt idx="8">
                  <c:v>1.0129468628874099</c:v>
                </c:pt>
                <c:pt idx="9">
                  <c:v>1.014565220748336</c:v>
                </c:pt>
                <c:pt idx="10">
                  <c:v>1.0161835786092623</c:v>
                </c:pt>
                <c:pt idx="11">
                  <c:v>1.0178019364701885</c:v>
                </c:pt>
                <c:pt idx="12">
                  <c:v>1.0194202943311148</c:v>
                </c:pt>
                <c:pt idx="13">
                  <c:v>1.0210386521920409</c:v>
                </c:pt>
                <c:pt idx="14">
                  <c:v>1.0226570100529673</c:v>
                </c:pt>
                <c:pt idx="15">
                  <c:v>1.0242753679138934</c:v>
                </c:pt>
                <c:pt idx="16">
                  <c:v>1.0258937257748197</c:v>
                </c:pt>
                <c:pt idx="17">
                  <c:v>1.0275120836357459</c:v>
                </c:pt>
                <c:pt idx="18">
                  <c:v>1.0291304414966722</c:v>
                </c:pt>
                <c:pt idx="19">
                  <c:v>1.0307487993575983</c:v>
                </c:pt>
                <c:pt idx="20">
                  <c:v>1.0323671572185247</c:v>
                </c:pt>
                <c:pt idx="21">
                  <c:v>1.0339855150794508</c:v>
                </c:pt>
                <c:pt idx="22">
                  <c:v>1.0356038729403771</c:v>
                </c:pt>
                <c:pt idx="23">
                  <c:v>1.0372222308013033</c:v>
                </c:pt>
                <c:pt idx="24">
                  <c:v>1.0388405886622296</c:v>
                </c:pt>
                <c:pt idx="25">
                  <c:v>1.0404589465231557</c:v>
                </c:pt>
                <c:pt idx="26">
                  <c:v>1.0420773043840821</c:v>
                </c:pt>
                <c:pt idx="27">
                  <c:v>1.0436956622450082</c:v>
                </c:pt>
                <c:pt idx="28">
                  <c:v>1.0453140201059345</c:v>
                </c:pt>
                <c:pt idx="29">
                  <c:v>1.0469323779668607</c:v>
                </c:pt>
                <c:pt idx="30">
                  <c:v>1.048550735827787</c:v>
                </c:pt>
                <c:pt idx="31">
                  <c:v>1.0501690936887131</c:v>
                </c:pt>
                <c:pt idx="32">
                  <c:v>1.0517874515496395</c:v>
                </c:pt>
                <c:pt idx="33">
                  <c:v>1.0534058094105656</c:v>
                </c:pt>
                <c:pt idx="34">
                  <c:v>1.055024167271492</c:v>
                </c:pt>
                <c:pt idx="35">
                  <c:v>1.0566425251324181</c:v>
                </c:pt>
                <c:pt idx="36">
                  <c:v>1.0582608829933444</c:v>
                </c:pt>
                <c:pt idx="37">
                  <c:v>1.0598792408542705</c:v>
                </c:pt>
                <c:pt idx="38">
                  <c:v>1.0614975987151969</c:v>
                </c:pt>
                <c:pt idx="39">
                  <c:v>1.063115956576123</c:v>
                </c:pt>
                <c:pt idx="40">
                  <c:v>1.0647343144370494</c:v>
                </c:pt>
                <c:pt idx="41">
                  <c:v>1.0663526722979755</c:v>
                </c:pt>
                <c:pt idx="42">
                  <c:v>1.0679710301589018</c:v>
                </c:pt>
                <c:pt idx="43">
                  <c:v>1.0695893880198279</c:v>
                </c:pt>
                <c:pt idx="44">
                  <c:v>1.0712077458807543</c:v>
                </c:pt>
                <c:pt idx="45">
                  <c:v>1.0728261037416804</c:v>
                </c:pt>
                <c:pt idx="46">
                  <c:v>1.0744444616026068</c:v>
                </c:pt>
                <c:pt idx="47">
                  <c:v>1.0760628194635329</c:v>
                </c:pt>
                <c:pt idx="48">
                  <c:v>1.0776811773244592</c:v>
                </c:pt>
                <c:pt idx="49">
                  <c:v>1.0792995351853854</c:v>
                </c:pt>
                <c:pt idx="50">
                  <c:v>1.0809178930463117</c:v>
                </c:pt>
                <c:pt idx="51">
                  <c:v>1.0825362509072378</c:v>
                </c:pt>
                <c:pt idx="52">
                  <c:v>1.0841546087681642</c:v>
                </c:pt>
                <c:pt idx="53">
                  <c:v>1.0857729666290903</c:v>
                </c:pt>
                <c:pt idx="54">
                  <c:v>1.0873913244900164</c:v>
                </c:pt>
                <c:pt idx="55">
                  <c:v>1.0890096823509428</c:v>
                </c:pt>
                <c:pt idx="56">
                  <c:v>1.0906280402118691</c:v>
                </c:pt>
                <c:pt idx="57">
                  <c:v>1.0922463980727952</c:v>
                </c:pt>
                <c:pt idx="58">
                  <c:v>1.0938647559337213</c:v>
                </c:pt>
                <c:pt idx="59">
                  <c:v>1.0954831137946477</c:v>
                </c:pt>
                <c:pt idx="60">
                  <c:v>1.0971014716555738</c:v>
                </c:pt>
                <c:pt idx="61">
                  <c:v>1.0987198295165002</c:v>
                </c:pt>
                <c:pt idx="62">
                  <c:v>1.1003381873774263</c:v>
                </c:pt>
                <c:pt idx="63">
                  <c:v>1.1019565452383526</c:v>
                </c:pt>
                <c:pt idx="64">
                  <c:v>1.1035749030992787</c:v>
                </c:pt>
                <c:pt idx="65">
                  <c:v>1.1051932609602051</c:v>
                </c:pt>
                <c:pt idx="66">
                  <c:v>1.1068116188211312</c:v>
                </c:pt>
                <c:pt idx="67">
                  <c:v>1.1084299766820576</c:v>
                </c:pt>
                <c:pt idx="68">
                  <c:v>1.1100483345429837</c:v>
                </c:pt>
                <c:pt idx="69">
                  <c:v>1.11166669240391</c:v>
                </c:pt>
                <c:pt idx="70">
                  <c:v>1.1132850502648362</c:v>
                </c:pt>
                <c:pt idx="71">
                  <c:v>1.1149034081257625</c:v>
                </c:pt>
                <c:pt idx="72">
                  <c:v>1.1165217659866886</c:v>
                </c:pt>
                <c:pt idx="73">
                  <c:v>1.118140123847615</c:v>
                </c:pt>
                <c:pt idx="74">
                  <c:v>1.1197584817085411</c:v>
                </c:pt>
                <c:pt idx="75">
                  <c:v>1.1213768395694674</c:v>
                </c:pt>
                <c:pt idx="76">
                  <c:v>1.1229951974303936</c:v>
                </c:pt>
                <c:pt idx="77">
                  <c:v>1.1246135552913199</c:v>
                </c:pt>
                <c:pt idx="78">
                  <c:v>1.126231913152246</c:v>
                </c:pt>
                <c:pt idx="79">
                  <c:v>1.1278502710131724</c:v>
                </c:pt>
                <c:pt idx="80">
                  <c:v>1.1294686288740985</c:v>
                </c:pt>
                <c:pt idx="81">
                  <c:v>1.1310869867350248</c:v>
                </c:pt>
                <c:pt idx="82">
                  <c:v>1.132705344595951</c:v>
                </c:pt>
                <c:pt idx="83">
                  <c:v>1.1343237024568773</c:v>
                </c:pt>
                <c:pt idx="84">
                  <c:v>1.1359420603178034</c:v>
                </c:pt>
                <c:pt idx="85">
                  <c:v>1.1375604181787298</c:v>
                </c:pt>
                <c:pt idx="86">
                  <c:v>1.1391787760396559</c:v>
                </c:pt>
                <c:pt idx="87">
                  <c:v>1.1407971339005822</c:v>
                </c:pt>
                <c:pt idx="88">
                  <c:v>1.1424154917615084</c:v>
                </c:pt>
                <c:pt idx="89">
                  <c:v>1.1440338496224347</c:v>
                </c:pt>
                <c:pt idx="90">
                  <c:v>1.1456522074833608</c:v>
                </c:pt>
                <c:pt idx="91">
                  <c:v>1.1472705653442872</c:v>
                </c:pt>
                <c:pt idx="92">
                  <c:v>1.1488889232052133</c:v>
                </c:pt>
                <c:pt idx="93">
                  <c:v>1.1505072810661396</c:v>
                </c:pt>
                <c:pt idx="94">
                  <c:v>1.1521256389270658</c:v>
                </c:pt>
                <c:pt idx="95">
                  <c:v>1.1537439967879921</c:v>
                </c:pt>
                <c:pt idx="96">
                  <c:v>1.1553623546489182</c:v>
                </c:pt>
                <c:pt idx="97">
                  <c:v>1.1569807125098446</c:v>
                </c:pt>
                <c:pt idx="98">
                  <c:v>1.1585990703707707</c:v>
                </c:pt>
                <c:pt idx="99">
                  <c:v>1.160217428231697</c:v>
                </c:pt>
                <c:pt idx="100">
                  <c:v>1.1618357860926232</c:v>
                </c:pt>
              </c:numCache>
            </c:numRef>
          </c:val>
          <c:smooth val="0"/>
          <c:extLst>
            <c:ext xmlns:c16="http://schemas.microsoft.com/office/drawing/2014/chart" uri="{C3380CC4-5D6E-409C-BE32-E72D297353CC}">
              <c16:uniqueId val="{00000000-F3C2-4406-AD18-8EAC9514679C}"/>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Single'!$AK$5:$AK$105</c:f>
              <c:numCache>
                <c:formatCode>0.000</c:formatCode>
                <c:ptCount val="101"/>
                <c:pt idx="0">
                  <c:v>1.0057142857142858</c:v>
                </c:pt>
                <c:pt idx="1">
                  <c:v>1.0057142857142858</c:v>
                </c:pt>
                <c:pt idx="2">
                  <c:v>1.0057142857142858</c:v>
                </c:pt>
                <c:pt idx="3">
                  <c:v>1.0057142857142858</c:v>
                </c:pt>
                <c:pt idx="4">
                  <c:v>1.0064734314437049</c:v>
                </c:pt>
                <c:pt idx="5">
                  <c:v>1.0080917893046311</c:v>
                </c:pt>
                <c:pt idx="6">
                  <c:v>1.0097101471655574</c:v>
                </c:pt>
                <c:pt idx="7">
                  <c:v>1.0113285050264835</c:v>
                </c:pt>
                <c:pt idx="8">
                  <c:v>1.0129468628874099</c:v>
                </c:pt>
                <c:pt idx="9">
                  <c:v>1.014565220748336</c:v>
                </c:pt>
                <c:pt idx="10">
                  <c:v>1.0161835786092623</c:v>
                </c:pt>
                <c:pt idx="11">
                  <c:v>1.0178019364701885</c:v>
                </c:pt>
                <c:pt idx="12">
                  <c:v>1.0194202943311148</c:v>
                </c:pt>
                <c:pt idx="13">
                  <c:v>1.0210386521920409</c:v>
                </c:pt>
                <c:pt idx="14">
                  <c:v>1.0226570100529673</c:v>
                </c:pt>
                <c:pt idx="15">
                  <c:v>1.0242753679138934</c:v>
                </c:pt>
                <c:pt idx="16">
                  <c:v>1.0258937257748197</c:v>
                </c:pt>
                <c:pt idx="17">
                  <c:v>1.0275120836357459</c:v>
                </c:pt>
                <c:pt idx="18">
                  <c:v>1.0291304414966722</c:v>
                </c:pt>
                <c:pt idx="19">
                  <c:v>1.0307487993575983</c:v>
                </c:pt>
                <c:pt idx="20">
                  <c:v>1.0323671572185247</c:v>
                </c:pt>
                <c:pt idx="21">
                  <c:v>1.0339855150794508</c:v>
                </c:pt>
                <c:pt idx="22">
                  <c:v>1.0356038729403771</c:v>
                </c:pt>
                <c:pt idx="23">
                  <c:v>1.0372222308013033</c:v>
                </c:pt>
                <c:pt idx="24">
                  <c:v>1.0388405886622296</c:v>
                </c:pt>
                <c:pt idx="25">
                  <c:v>1.0404589465231557</c:v>
                </c:pt>
                <c:pt idx="26">
                  <c:v>1.0420773043840821</c:v>
                </c:pt>
                <c:pt idx="27">
                  <c:v>1.0436956622450082</c:v>
                </c:pt>
                <c:pt idx="28">
                  <c:v>1.0453140201059345</c:v>
                </c:pt>
                <c:pt idx="29">
                  <c:v>1.0469323779668607</c:v>
                </c:pt>
                <c:pt idx="30">
                  <c:v>1.048550735827787</c:v>
                </c:pt>
                <c:pt idx="31">
                  <c:v>1.0501690936887131</c:v>
                </c:pt>
                <c:pt idx="32">
                  <c:v>1.0517874515496395</c:v>
                </c:pt>
                <c:pt idx="33">
                  <c:v>1.0534058094105656</c:v>
                </c:pt>
                <c:pt idx="34">
                  <c:v>1.055024167271492</c:v>
                </c:pt>
                <c:pt idx="35">
                  <c:v>1.0566425251324181</c:v>
                </c:pt>
                <c:pt idx="36">
                  <c:v>1.0582608829933444</c:v>
                </c:pt>
                <c:pt idx="37">
                  <c:v>1.0598792408542705</c:v>
                </c:pt>
                <c:pt idx="38">
                  <c:v>1.0614975987151969</c:v>
                </c:pt>
                <c:pt idx="39">
                  <c:v>1.063115956576123</c:v>
                </c:pt>
                <c:pt idx="40">
                  <c:v>1.0647343144370494</c:v>
                </c:pt>
                <c:pt idx="41">
                  <c:v>1.0663526722979755</c:v>
                </c:pt>
                <c:pt idx="42">
                  <c:v>1.0679710301589018</c:v>
                </c:pt>
                <c:pt idx="43">
                  <c:v>1.0695893880198279</c:v>
                </c:pt>
                <c:pt idx="44">
                  <c:v>1.0712077458807543</c:v>
                </c:pt>
                <c:pt idx="45">
                  <c:v>1.0728261037416804</c:v>
                </c:pt>
                <c:pt idx="46">
                  <c:v>1.0744444616026068</c:v>
                </c:pt>
                <c:pt idx="47">
                  <c:v>1.0760628194635329</c:v>
                </c:pt>
                <c:pt idx="48">
                  <c:v>1.0776811773244592</c:v>
                </c:pt>
                <c:pt idx="49">
                  <c:v>1.0792995351853854</c:v>
                </c:pt>
                <c:pt idx="50">
                  <c:v>1.0809178930463117</c:v>
                </c:pt>
                <c:pt idx="51">
                  <c:v>1.0825362509072378</c:v>
                </c:pt>
                <c:pt idx="52">
                  <c:v>1.0841546087681642</c:v>
                </c:pt>
                <c:pt idx="53">
                  <c:v>1.0857729666290903</c:v>
                </c:pt>
                <c:pt idx="54">
                  <c:v>1.0873913244900164</c:v>
                </c:pt>
                <c:pt idx="55">
                  <c:v>1.0890096823509428</c:v>
                </c:pt>
                <c:pt idx="56">
                  <c:v>1.0906280402118691</c:v>
                </c:pt>
                <c:pt idx="57">
                  <c:v>1.0922463980727952</c:v>
                </c:pt>
                <c:pt idx="58">
                  <c:v>1.0938647559337213</c:v>
                </c:pt>
                <c:pt idx="59">
                  <c:v>1.0954831137946477</c:v>
                </c:pt>
                <c:pt idx="60">
                  <c:v>1.0971014716555738</c:v>
                </c:pt>
                <c:pt idx="61">
                  <c:v>1.0987198295165002</c:v>
                </c:pt>
                <c:pt idx="62">
                  <c:v>1.1003381873774263</c:v>
                </c:pt>
                <c:pt idx="63">
                  <c:v>1.1019565452383526</c:v>
                </c:pt>
                <c:pt idx="64">
                  <c:v>1.1035749030992787</c:v>
                </c:pt>
                <c:pt idx="65">
                  <c:v>1.1051932609602051</c:v>
                </c:pt>
                <c:pt idx="66">
                  <c:v>1.1068116188211312</c:v>
                </c:pt>
                <c:pt idx="67">
                  <c:v>1.1084299766820576</c:v>
                </c:pt>
                <c:pt idx="68">
                  <c:v>1.1100483345429837</c:v>
                </c:pt>
                <c:pt idx="69">
                  <c:v>1.11166669240391</c:v>
                </c:pt>
                <c:pt idx="70">
                  <c:v>1.1132850502648362</c:v>
                </c:pt>
                <c:pt idx="71">
                  <c:v>1.1149034081257625</c:v>
                </c:pt>
                <c:pt idx="72">
                  <c:v>1.1165217659866886</c:v>
                </c:pt>
                <c:pt idx="73">
                  <c:v>1.118140123847615</c:v>
                </c:pt>
                <c:pt idx="74">
                  <c:v>1.1197584817085411</c:v>
                </c:pt>
                <c:pt idx="75">
                  <c:v>1.1213768395694674</c:v>
                </c:pt>
                <c:pt idx="76">
                  <c:v>1.1229951974303936</c:v>
                </c:pt>
                <c:pt idx="77">
                  <c:v>1.1246135552913199</c:v>
                </c:pt>
                <c:pt idx="78">
                  <c:v>1.126231913152246</c:v>
                </c:pt>
                <c:pt idx="79">
                  <c:v>1.1278502710131724</c:v>
                </c:pt>
                <c:pt idx="80">
                  <c:v>1.1294686288740985</c:v>
                </c:pt>
                <c:pt idx="81">
                  <c:v>1.1310869867350248</c:v>
                </c:pt>
                <c:pt idx="82">
                  <c:v>1.132705344595951</c:v>
                </c:pt>
                <c:pt idx="83">
                  <c:v>1.1343237024568773</c:v>
                </c:pt>
                <c:pt idx="84">
                  <c:v>1.1359420603178034</c:v>
                </c:pt>
                <c:pt idx="85">
                  <c:v>1.1375604181787298</c:v>
                </c:pt>
                <c:pt idx="86">
                  <c:v>1.1391787760396559</c:v>
                </c:pt>
                <c:pt idx="87">
                  <c:v>1.1407971339005822</c:v>
                </c:pt>
                <c:pt idx="88">
                  <c:v>1.1424154917615084</c:v>
                </c:pt>
                <c:pt idx="89">
                  <c:v>1.1440338496224347</c:v>
                </c:pt>
                <c:pt idx="90">
                  <c:v>1.1456522074833608</c:v>
                </c:pt>
                <c:pt idx="91">
                  <c:v>1.1472705653442872</c:v>
                </c:pt>
                <c:pt idx="92">
                  <c:v>1.1488889232052133</c:v>
                </c:pt>
                <c:pt idx="93">
                  <c:v>1.1505072810661396</c:v>
                </c:pt>
                <c:pt idx="94">
                  <c:v>1.1521256389270658</c:v>
                </c:pt>
                <c:pt idx="95">
                  <c:v>1.1537439967879921</c:v>
                </c:pt>
                <c:pt idx="96">
                  <c:v>1.1553623546489182</c:v>
                </c:pt>
                <c:pt idx="97">
                  <c:v>1.1569807125098446</c:v>
                </c:pt>
                <c:pt idx="98">
                  <c:v>1.1585990703707707</c:v>
                </c:pt>
                <c:pt idx="99">
                  <c:v>1.160217428231697</c:v>
                </c:pt>
                <c:pt idx="100">
                  <c:v>1.1618357860926232</c:v>
                </c:pt>
              </c:numCache>
            </c:numRef>
          </c:val>
          <c:smooth val="0"/>
          <c:extLst>
            <c:ext xmlns:c16="http://schemas.microsoft.com/office/drawing/2014/chart" uri="{C3380CC4-5D6E-409C-BE32-E72D297353CC}">
              <c16:uniqueId val="{00000001-F3C2-4406-AD18-8EAC9514679C}"/>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1.0057142857142858</c:v>
                </c:pt>
                <c:pt idx="1">
                  <c:v>1.0057142857142858</c:v>
                </c:pt>
                <c:pt idx="2">
                  <c:v>1.0057142857142858</c:v>
                </c:pt>
                <c:pt idx="3">
                  <c:v>1.0057142857142858</c:v>
                </c:pt>
                <c:pt idx="4">
                  <c:v>1.0064734314437049</c:v>
                </c:pt>
                <c:pt idx="5">
                  <c:v>1.0080917893046311</c:v>
                </c:pt>
                <c:pt idx="6">
                  <c:v>1.0097101471655574</c:v>
                </c:pt>
                <c:pt idx="7">
                  <c:v>1.0113285050264835</c:v>
                </c:pt>
                <c:pt idx="8">
                  <c:v>1.0129468628874099</c:v>
                </c:pt>
                <c:pt idx="9">
                  <c:v>1.014565220748336</c:v>
                </c:pt>
                <c:pt idx="10">
                  <c:v>1.0161835786092623</c:v>
                </c:pt>
                <c:pt idx="11">
                  <c:v>1.0178019364701885</c:v>
                </c:pt>
                <c:pt idx="12">
                  <c:v>1.0194202943311148</c:v>
                </c:pt>
                <c:pt idx="13">
                  <c:v>1.0210386521920409</c:v>
                </c:pt>
                <c:pt idx="14">
                  <c:v>1.0226570100529673</c:v>
                </c:pt>
                <c:pt idx="15">
                  <c:v>1.0242753679138934</c:v>
                </c:pt>
                <c:pt idx="16">
                  <c:v>1.0258937257748197</c:v>
                </c:pt>
                <c:pt idx="17">
                  <c:v>1.0275120836357459</c:v>
                </c:pt>
                <c:pt idx="18">
                  <c:v>1.0291304414966722</c:v>
                </c:pt>
                <c:pt idx="19">
                  <c:v>1.0307487993575983</c:v>
                </c:pt>
                <c:pt idx="20">
                  <c:v>1.0323671572185247</c:v>
                </c:pt>
                <c:pt idx="21">
                  <c:v>1.0339855150794508</c:v>
                </c:pt>
                <c:pt idx="22">
                  <c:v>1.0356038729403771</c:v>
                </c:pt>
                <c:pt idx="23">
                  <c:v>1.0372222308013033</c:v>
                </c:pt>
                <c:pt idx="24">
                  <c:v>1.0388405886622296</c:v>
                </c:pt>
                <c:pt idx="25">
                  <c:v>1.0404589465231557</c:v>
                </c:pt>
                <c:pt idx="26">
                  <c:v>1.0420773043840821</c:v>
                </c:pt>
                <c:pt idx="27">
                  <c:v>1.0436956622450082</c:v>
                </c:pt>
                <c:pt idx="28">
                  <c:v>1.0453140201059345</c:v>
                </c:pt>
                <c:pt idx="29">
                  <c:v>1.0469323779668607</c:v>
                </c:pt>
                <c:pt idx="30">
                  <c:v>1.048550735827787</c:v>
                </c:pt>
                <c:pt idx="31">
                  <c:v>1.0501690936887131</c:v>
                </c:pt>
                <c:pt idx="32">
                  <c:v>1.0517874515496395</c:v>
                </c:pt>
                <c:pt idx="33">
                  <c:v>1.0534058094105656</c:v>
                </c:pt>
                <c:pt idx="34">
                  <c:v>1.055024167271492</c:v>
                </c:pt>
                <c:pt idx="35">
                  <c:v>1.0566425251324181</c:v>
                </c:pt>
                <c:pt idx="36">
                  <c:v>1.0582608829933444</c:v>
                </c:pt>
                <c:pt idx="37">
                  <c:v>1.0598792408542705</c:v>
                </c:pt>
                <c:pt idx="38">
                  <c:v>1.0614975987151969</c:v>
                </c:pt>
                <c:pt idx="39">
                  <c:v>1.063115956576123</c:v>
                </c:pt>
                <c:pt idx="40">
                  <c:v>1.0647343144370494</c:v>
                </c:pt>
                <c:pt idx="41">
                  <c:v>1.0663526722979755</c:v>
                </c:pt>
                <c:pt idx="42">
                  <c:v>1.0679710301589018</c:v>
                </c:pt>
                <c:pt idx="43">
                  <c:v>1.0695893880198279</c:v>
                </c:pt>
                <c:pt idx="44">
                  <c:v>1.0712077458807543</c:v>
                </c:pt>
                <c:pt idx="45">
                  <c:v>1.0728261037416804</c:v>
                </c:pt>
                <c:pt idx="46">
                  <c:v>1.0744444616026068</c:v>
                </c:pt>
                <c:pt idx="47">
                  <c:v>1.0760628194635329</c:v>
                </c:pt>
                <c:pt idx="48">
                  <c:v>1.0776811773244592</c:v>
                </c:pt>
                <c:pt idx="49">
                  <c:v>1.0792995351853854</c:v>
                </c:pt>
                <c:pt idx="50">
                  <c:v>1.0809178930463117</c:v>
                </c:pt>
                <c:pt idx="51">
                  <c:v>1.0825362509072378</c:v>
                </c:pt>
                <c:pt idx="52">
                  <c:v>1.0841546087681642</c:v>
                </c:pt>
                <c:pt idx="53">
                  <c:v>1.0857729666290903</c:v>
                </c:pt>
                <c:pt idx="54">
                  <c:v>1.0873913244900164</c:v>
                </c:pt>
                <c:pt idx="55">
                  <c:v>1.0890096823509428</c:v>
                </c:pt>
                <c:pt idx="56">
                  <c:v>1.0906280402118691</c:v>
                </c:pt>
                <c:pt idx="57">
                  <c:v>1.0922463980727952</c:v>
                </c:pt>
                <c:pt idx="58">
                  <c:v>1.0938647559337213</c:v>
                </c:pt>
                <c:pt idx="59">
                  <c:v>1.0954831137946477</c:v>
                </c:pt>
                <c:pt idx="60">
                  <c:v>1.0971014716555738</c:v>
                </c:pt>
                <c:pt idx="61">
                  <c:v>1.0987198295165002</c:v>
                </c:pt>
                <c:pt idx="62">
                  <c:v>1.1003381873774263</c:v>
                </c:pt>
                <c:pt idx="63">
                  <c:v>1.1019565452383526</c:v>
                </c:pt>
                <c:pt idx="64">
                  <c:v>1.1035749030992787</c:v>
                </c:pt>
                <c:pt idx="65">
                  <c:v>1.1051932609602051</c:v>
                </c:pt>
                <c:pt idx="66">
                  <c:v>1.1068116188211312</c:v>
                </c:pt>
                <c:pt idx="67">
                  <c:v>1.1084299766820576</c:v>
                </c:pt>
                <c:pt idx="68">
                  <c:v>1.1100483345429837</c:v>
                </c:pt>
                <c:pt idx="69">
                  <c:v>1.11166669240391</c:v>
                </c:pt>
                <c:pt idx="70">
                  <c:v>1.1132850502648362</c:v>
                </c:pt>
                <c:pt idx="71">
                  <c:v>1.1149034081257625</c:v>
                </c:pt>
                <c:pt idx="72">
                  <c:v>1.1165217659866886</c:v>
                </c:pt>
                <c:pt idx="73">
                  <c:v>1.118140123847615</c:v>
                </c:pt>
                <c:pt idx="74">
                  <c:v>1.1197584817085411</c:v>
                </c:pt>
                <c:pt idx="75">
                  <c:v>1.1213768395694674</c:v>
                </c:pt>
                <c:pt idx="76">
                  <c:v>1.1229951974303936</c:v>
                </c:pt>
                <c:pt idx="77">
                  <c:v>1.1246135552913199</c:v>
                </c:pt>
                <c:pt idx="78">
                  <c:v>1.126231913152246</c:v>
                </c:pt>
                <c:pt idx="79">
                  <c:v>1.1278502710131724</c:v>
                </c:pt>
                <c:pt idx="80">
                  <c:v>1.1294686288740985</c:v>
                </c:pt>
                <c:pt idx="81">
                  <c:v>1.1310869867350248</c:v>
                </c:pt>
                <c:pt idx="82">
                  <c:v>1.132705344595951</c:v>
                </c:pt>
                <c:pt idx="83">
                  <c:v>1.1343237024568773</c:v>
                </c:pt>
                <c:pt idx="84">
                  <c:v>1.1359420603178034</c:v>
                </c:pt>
                <c:pt idx="85">
                  <c:v>1.1375604181787298</c:v>
                </c:pt>
                <c:pt idx="86">
                  <c:v>1.1391787760396559</c:v>
                </c:pt>
                <c:pt idx="87">
                  <c:v>1.1407971339005822</c:v>
                </c:pt>
                <c:pt idx="88">
                  <c:v>1.1424154917615084</c:v>
                </c:pt>
                <c:pt idx="89">
                  <c:v>1.1440338496224347</c:v>
                </c:pt>
                <c:pt idx="90">
                  <c:v>1.1456522074833608</c:v>
                </c:pt>
                <c:pt idx="91">
                  <c:v>1.1472705653442872</c:v>
                </c:pt>
                <c:pt idx="92">
                  <c:v>1.1488889232052133</c:v>
                </c:pt>
                <c:pt idx="93">
                  <c:v>1.1505072810661396</c:v>
                </c:pt>
                <c:pt idx="94">
                  <c:v>1.1521256389270658</c:v>
                </c:pt>
                <c:pt idx="95">
                  <c:v>1.1537439967879921</c:v>
                </c:pt>
                <c:pt idx="96">
                  <c:v>1.1553623546489182</c:v>
                </c:pt>
                <c:pt idx="97">
                  <c:v>1.1569807125098446</c:v>
                </c:pt>
                <c:pt idx="98">
                  <c:v>1.1585990703707707</c:v>
                </c:pt>
                <c:pt idx="99">
                  <c:v>1.160217428231697</c:v>
                </c:pt>
                <c:pt idx="100">
                  <c:v>1.1618357860926232</c:v>
                </c:pt>
              </c:numCache>
            </c:numRef>
          </c:val>
          <c:smooth val="0"/>
          <c:extLst>
            <c:ext xmlns:c16="http://schemas.microsoft.com/office/drawing/2014/chart" uri="{C3380CC4-5D6E-409C-BE32-E72D297353CC}">
              <c16:uniqueId val="{00000002-F3C2-4406-AD18-8EAC9514679C}"/>
            </c:ext>
          </c:extLst>
        </c:ser>
        <c:dLbls>
          <c:showLegendKey val="0"/>
          <c:showVal val="0"/>
          <c:showCatName val="0"/>
          <c:showSerName val="0"/>
          <c:showPercent val="0"/>
          <c:showBubbleSize val="0"/>
        </c:dLbls>
        <c:smooth val="0"/>
        <c:axId val="141938048"/>
        <c:axId val="141940224"/>
      </c:lineChart>
      <c:catAx>
        <c:axId val="14193804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cs-CZ"/>
          </a:p>
        </c:txPr>
        <c:crossAx val="141940224"/>
        <c:crosses val="autoZero"/>
        <c:auto val="1"/>
        <c:lblAlgn val="ctr"/>
        <c:lblOffset val="100"/>
        <c:tickLblSkip val="20"/>
        <c:tickMarkSkip val="10"/>
        <c:noMultiLvlLbl val="0"/>
      </c:catAx>
      <c:valAx>
        <c:axId val="141940224"/>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cs-CZ"/>
          </a:p>
        </c:txPr>
        <c:crossAx val="14193804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cs-CZ"/>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cs-CZ"/>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Single'!$BY$5:$BY$105</c:f>
              <c:numCache>
                <c:formatCode>0.00</c:formatCode>
                <c:ptCount val="101"/>
                <c:pt idx="0">
                  <c:v>4.5723931633513237E-5</c:v>
                </c:pt>
                <c:pt idx="1">
                  <c:v>30.839516160974089</c:v>
                </c:pt>
                <c:pt idx="2">
                  <c:v>46.531662702794478</c:v>
                </c:pt>
                <c:pt idx="3">
                  <c:v>56.035969184914961</c:v>
                </c:pt>
                <c:pt idx="4">
                  <c:v>61.820877418239995</c:v>
                </c:pt>
                <c:pt idx="5">
                  <c:v>65.308011379798401</c:v>
                </c:pt>
                <c:pt idx="6">
                  <c:v>67.859549600479056</c:v>
                </c:pt>
                <c:pt idx="7">
                  <c:v>69.807336536086709</c:v>
                </c:pt>
                <c:pt idx="8">
                  <c:v>71.34286392043002</c:v>
                </c:pt>
                <c:pt idx="9">
                  <c:v>72.584378021695457</c:v>
                </c:pt>
                <c:pt idx="10">
                  <c:v>73.608843957753066</c:v>
                </c:pt>
                <c:pt idx="11">
                  <c:v>74.468514586264007</c:v>
                </c:pt>
                <c:pt idx="12">
                  <c:v>75.200112108267078</c:v>
                </c:pt>
                <c:pt idx="13">
                  <c:v>75.830199188963377</c:v>
                </c:pt>
                <c:pt idx="14">
                  <c:v>76.378465208017346</c:v>
                </c:pt>
                <c:pt idx="15">
                  <c:v>76.859814421304648</c:v>
                </c:pt>
                <c:pt idx="16">
                  <c:v>77.285736439229765</c:v>
                </c:pt>
                <c:pt idx="17">
                  <c:v>77.66523120395513</c:v>
                </c:pt>
                <c:pt idx="18">
                  <c:v>78.005448738689338</c:v>
                </c:pt>
                <c:pt idx="19">
                  <c:v>78.312141266301367</c:v>
                </c:pt>
                <c:pt idx="20">
                  <c:v>78.589988907201814</c:v>
                </c:pt>
                <c:pt idx="21">
                  <c:v>78.842838361660668</c:v>
                </c:pt>
                <c:pt idx="22">
                  <c:v>79.073880542890734</c:v>
                </c:pt>
                <c:pt idx="23">
                  <c:v>79.285784633695641</c:v>
                </c:pt>
                <c:pt idx="24">
                  <c:v>79.480800548681557</c:v>
                </c:pt>
                <c:pt idx="25">
                  <c:v>79.660838161025666</c:v>
                </c:pt>
                <c:pt idx="26">
                  <c:v>79.827529217338508</c:v>
                </c:pt>
                <c:pt idx="27">
                  <c:v>79.982276198937555</c:v>
                </c:pt>
                <c:pt idx="28">
                  <c:v>80.126291231395953</c:v>
                </c:pt>
                <c:pt idx="29">
                  <c:v>80.260627329500068</c:v>
                </c:pt>
                <c:pt idx="30">
                  <c:v>80.386203683112427</c:v>
                </c:pt>
                <c:pt idx="31">
                  <c:v>80.503826269078672</c:v>
                </c:pt>
                <c:pt idx="32">
                  <c:v>80.614204767033399</c:v>
                </c:pt>
                <c:pt idx="33">
                  <c:v>80.71796652993531</c:v>
                </c:pt>
                <c:pt idx="34">
                  <c:v>80.815668190761528</c:v>
                </c:pt>
                <c:pt idx="35">
                  <c:v>80.907805359208666</c:v>
                </c:pt>
                <c:pt idx="36">
                  <c:v>80.994820765319943</c:v>
                </c:pt>
                <c:pt idx="37">
                  <c:v>81.077111132712531</c:v>
                </c:pt>
                <c:pt idx="38">
                  <c:v>81.155033006769074</c:v>
                </c:pt>
                <c:pt idx="39">
                  <c:v>81.228907718595551</c:v>
                </c:pt>
                <c:pt idx="40">
                  <c:v>81.29902563065977</c:v>
                </c:pt>
                <c:pt idx="41">
                  <c:v>81.36564978253206</c:v>
                </c:pt>
                <c:pt idx="42">
                  <c:v>81.429019033350329</c:v>
                </c:pt>
                <c:pt idx="43">
                  <c:v>81.489350780246411</c:v>
                </c:pt>
                <c:pt idx="44">
                  <c:v>81.546843318025282</c:v>
                </c:pt>
                <c:pt idx="45">
                  <c:v>81.60167789414696</c:v>
                </c:pt>
                <c:pt idx="46">
                  <c:v>81.65402050394971</c:v>
                </c:pt>
                <c:pt idx="47">
                  <c:v>81.704023463634428</c:v>
                </c:pt>
                <c:pt idx="48">
                  <c:v>81.751826792461955</c:v>
                </c:pt>
                <c:pt idx="49">
                  <c:v>81.797559430627814</c:v>
                </c:pt>
                <c:pt idx="50">
                  <c:v>81.841340315165766</c:v>
                </c:pt>
                <c:pt idx="51">
                  <c:v>81.883279332822255</c:v>
                </c:pt>
                <c:pt idx="52">
                  <c:v>81.92347816601</c:v>
                </c:pt>
                <c:pt idx="53">
                  <c:v>81.962031045582222</c:v>
                </c:pt>
                <c:pt idx="54">
                  <c:v>81.999025422187415</c:v>
                </c:pt>
                <c:pt idx="55">
                  <c:v>82.034542566297844</c:v>
                </c:pt>
                <c:pt idx="56">
                  <c:v>82.068658105600207</c:v>
                </c:pt>
                <c:pt idx="57">
                  <c:v>82.101442507247739</c:v>
                </c:pt>
                <c:pt idx="58">
                  <c:v>82.132961511464046</c:v>
                </c:pt>
                <c:pt idx="59">
                  <c:v>82.163276522130346</c:v>
                </c:pt>
                <c:pt idx="60">
                  <c:v>82.192444959254985</c:v>
                </c:pt>
                <c:pt idx="61">
                  <c:v>82.220520577596204</c:v>
                </c:pt>
                <c:pt idx="62">
                  <c:v>82.247553755171111</c:v>
                </c:pt>
                <c:pt idx="63">
                  <c:v>82.273591754920545</c:v>
                </c:pt>
                <c:pt idx="64">
                  <c:v>82.298678962399805</c:v>
                </c:pt>
                <c:pt idx="65">
                  <c:v>82.322857102019881</c:v>
                </c:pt>
                <c:pt idx="66">
                  <c:v>82.346165434064517</c:v>
                </c:pt>
                <c:pt idx="67">
                  <c:v>82.368640934448095</c:v>
                </c:pt>
                <c:pt idx="68">
                  <c:v>82.390318458953715</c:v>
                </c:pt>
                <c:pt idx="69">
                  <c:v>82.411230893492572</c:v>
                </c:pt>
                <c:pt idx="70">
                  <c:v>82.431409291753695</c:v>
                </c:pt>
                <c:pt idx="71">
                  <c:v>82.450883001462032</c:v>
                </c:pt>
                <c:pt idx="72">
                  <c:v>82.469679780329983</c:v>
                </c:pt>
                <c:pt idx="73">
                  <c:v>82.487825902671048</c:v>
                </c:pt>
                <c:pt idx="74">
                  <c:v>82.505346257541433</c:v>
                </c:pt>
                <c:pt idx="75">
                  <c:v>82.522264439185491</c:v>
                </c:pt>
                <c:pt idx="76">
                  <c:v>82.538602830479462</c:v>
                </c:pt>
                <c:pt idx="77">
                  <c:v>82.554382679998824</c:v>
                </c:pt>
                <c:pt idx="78">
                  <c:v>82.569624173270199</c:v>
                </c:pt>
                <c:pt idx="79">
                  <c:v>82.584346498713913</c:v>
                </c:pt>
                <c:pt idx="80">
                  <c:v>82.598567908733031</c:v>
                </c:pt>
                <c:pt idx="81">
                  <c:v>82.612305776361055</c:v>
                </c:pt>
                <c:pt idx="82">
                  <c:v>82.625576647840234</c:v>
                </c:pt>
                <c:pt idx="83">
                  <c:v>82.638396291467984</c:v>
                </c:pt>
                <c:pt idx="84">
                  <c:v>82.650779743016813</c:v>
                </c:pt>
                <c:pt idx="85">
                  <c:v>82.662741348004985</c:v>
                </c:pt>
                <c:pt idx="86">
                  <c:v>82.674294801069991</c:v>
                </c:pt>
                <c:pt idx="87">
                  <c:v>82.685453182673967</c:v>
                </c:pt>
                <c:pt idx="88">
                  <c:v>82.696228993349564</c:v>
                </c:pt>
                <c:pt idx="89">
                  <c:v>82.706634185676833</c:v>
                </c:pt>
                <c:pt idx="90">
                  <c:v>82.716680194164312</c:v>
                </c:pt>
                <c:pt idx="91">
                  <c:v>82.726377963193201</c:v>
                </c:pt>
                <c:pt idx="92">
                  <c:v>82.735737973169421</c:v>
                </c:pt>
                <c:pt idx="93">
                  <c:v>82.744770265016484</c:v>
                </c:pt>
                <c:pt idx="94">
                  <c:v>82.753484463130562</c:v>
                </c:pt>
                <c:pt idx="95">
                  <c:v>82.761889796909472</c:v>
                </c:pt>
                <c:pt idx="96">
                  <c:v>82.769995120957788</c:v>
                </c:pt>
                <c:pt idx="97">
                  <c:v>82.777808934062207</c:v>
                </c:pt>
                <c:pt idx="98">
                  <c:v>82.785339397023876</c:v>
                </c:pt>
                <c:pt idx="99">
                  <c:v>82.792594349426679</c:v>
                </c:pt>
                <c:pt idx="100">
                  <c:v>82.799581325415659</c:v>
                </c:pt>
              </c:numCache>
            </c:numRef>
          </c:val>
          <c:smooth val="0"/>
          <c:extLst>
            <c:ext xmlns:c16="http://schemas.microsoft.com/office/drawing/2014/chart" uri="{C3380CC4-5D6E-409C-BE32-E72D297353CC}">
              <c16:uniqueId val="{00000000-6856-4496-A6F8-B6C766FC0ADC}"/>
            </c:ext>
          </c:extLst>
        </c:ser>
        <c:dLbls>
          <c:showLegendKey val="0"/>
          <c:showVal val="0"/>
          <c:showCatName val="0"/>
          <c:showSerName val="0"/>
          <c:showPercent val="0"/>
          <c:showBubbleSize val="0"/>
        </c:dLbls>
        <c:marker val="1"/>
        <c:smooth val="0"/>
        <c:axId val="142271616"/>
        <c:axId val="142273536"/>
      </c:lineChart>
      <c:lineChart>
        <c:grouping val="standard"/>
        <c:varyColors val="0"/>
        <c:ser>
          <c:idx val="2"/>
          <c:order val="1"/>
          <c:tx>
            <c:strRef>
              <c:f>'Calculations - Single'!$BM$3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3.4999999999999998E-7</c:v>
                </c:pt>
                <c:pt idx="1">
                  <c:v>0.35</c:v>
                </c:pt>
                <c:pt idx="2">
                  <c:v>0.7</c:v>
                </c:pt>
                <c:pt idx="3">
                  <c:v>1.05</c:v>
                </c:pt>
                <c:pt idx="4">
                  <c:v>1.4</c:v>
                </c:pt>
                <c:pt idx="5">
                  <c:v>1.7500000000000002</c:v>
                </c:pt>
                <c:pt idx="6">
                  <c:v>2.1</c:v>
                </c:pt>
                <c:pt idx="7">
                  <c:v>2.4500000000000002</c:v>
                </c:pt>
                <c:pt idx="8">
                  <c:v>2.8</c:v>
                </c:pt>
                <c:pt idx="9">
                  <c:v>3.1499999999999995</c:v>
                </c:pt>
                <c:pt idx="10">
                  <c:v>3.5000000000000004</c:v>
                </c:pt>
                <c:pt idx="11">
                  <c:v>3.85</c:v>
                </c:pt>
                <c:pt idx="12">
                  <c:v>4.2</c:v>
                </c:pt>
                <c:pt idx="13">
                  <c:v>4.55</c:v>
                </c:pt>
                <c:pt idx="14">
                  <c:v>4.9000000000000004</c:v>
                </c:pt>
                <c:pt idx="15">
                  <c:v>5.2499999999999991</c:v>
                </c:pt>
                <c:pt idx="16">
                  <c:v>5.6</c:v>
                </c:pt>
                <c:pt idx="17">
                  <c:v>5.95</c:v>
                </c:pt>
                <c:pt idx="18">
                  <c:v>6.2999999999999989</c:v>
                </c:pt>
                <c:pt idx="19">
                  <c:v>6.65</c:v>
                </c:pt>
                <c:pt idx="20">
                  <c:v>7.0000000000000009</c:v>
                </c:pt>
                <c:pt idx="21">
                  <c:v>7.35</c:v>
                </c:pt>
                <c:pt idx="22">
                  <c:v>7.7</c:v>
                </c:pt>
                <c:pt idx="23">
                  <c:v>8.0500000000000007</c:v>
                </c:pt>
                <c:pt idx="24">
                  <c:v>8.4</c:v>
                </c:pt>
                <c:pt idx="25">
                  <c:v>8.7499999999999982</c:v>
                </c:pt>
                <c:pt idx="26">
                  <c:v>9.1</c:v>
                </c:pt>
                <c:pt idx="27">
                  <c:v>9.4499999999999993</c:v>
                </c:pt>
                <c:pt idx="28">
                  <c:v>9.8000000000000007</c:v>
                </c:pt>
                <c:pt idx="29">
                  <c:v>10.149999999999999</c:v>
                </c:pt>
                <c:pt idx="30">
                  <c:v>10.499999999999998</c:v>
                </c:pt>
                <c:pt idx="31">
                  <c:v>10.849999999999998</c:v>
                </c:pt>
                <c:pt idx="32">
                  <c:v>11.2</c:v>
                </c:pt>
                <c:pt idx="33">
                  <c:v>11.549999999999999</c:v>
                </c:pt>
                <c:pt idx="34">
                  <c:v>11.9</c:v>
                </c:pt>
                <c:pt idx="35">
                  <c:v>12.249999999999998</c:v>
                </c:pt>
                <c:pt idx="36">
                  <c:v>12.599999999999998</c:v>
                </c:pt>
                <c:pt idx="37">
                  <c:v>12.949999999999998</c:v>
                </c:pt>
                <c:pt idx="38">
                  <c:v>13.3</c:v>
                </c:pt>
                <c:pt idx="39">
                  <c:v>13.650000000000002</c:v>
                </c:pt>
                <c:pt idx="40">
                  <c:v>14.000000000000002</c:v>
                </c:pt>
                <c:pt idx="41">
                  <c:v>14.35</c:v>
                </c:pt>
                <c:pt idx="42">
                  <c:v>14.7</c:v>
                </c:pt>
                <c:pt idx="43">
                  <c:v>15.05</c:v>
                </c:pt>
                <c:pt idx="44">
                  <c:v>15.4</c:v>
                </c:pt>
                <c:pt idx="45">
                  <c:v>15.75</c:v>
                </c:pt>
                <c:pt idx="46">
                  <c:v>16.100000000000001</c:v>
                </c:pt>
                <c:pt idx="47">
                  <c:v>16.45</c:v>
                </c:pt>
                <c:pt idx="48">
                  <c:v>16.8</c:v>
                </c:pt>
                <c:pt idx="49">
                  <c:v>17.149999999999999</c:v>
                </c:pt>
                <c:pt idx="50">
                  <c:v>17.499999999999996</c:v>
                </c:pt>
                <c:pt idx="51">
                  <c:v>17.850000000000001</c:v>
                </c:pt>
                <c:pt idx="52">
                  <c:v>18.2</c:v>
                </c:pt>
                <c:pt idx="53">
                  <c:v>18.55</c:v>
                </c:pt>
                <c:pt idx="54">
                  <c:v>18.899999999999999</c:v>
                </c:pt>
                <c:pt idx="55">
                  <c:v>19.25</c:v>
                </c:pt>
                <c:pt idx="56">
                  <c:v>19.600000000000001</c:v>
                </c:pt>
                <c:pt idx="57">
                  <c:v>19.949999999999996</c:v>
                </c:pt>
                <c:pt idx="58">
                  <c:v>20.299999999999997</c:v>
                </c:pt>
                <c:pt idx="59">
                  <c:v>20.65</c:v>
                </c:pt>
                <c:pt idx="60">
                  <c:v>20.999999999999996</c:v>
                </c:pt>
                <c:pt idx="61">
                  <c:v>21.349999999999998</c:v>
                </c:pt>
                <c:pt idx="62">
                  <c:v>21.699999999999996</c:v>
                </c:pt>
                <c:pt idx="63">
                  <c:v>22.05</c:v>
                </c:pt>
                <c:pt idx="64">
                  <c:v>22.4</c:v>
                </c:pt>
                <c:pt idx="65">
                  <c:v>22.75</c:v>
                </c:pt>
                <c:pt idx="66">
                  <c:v>23.099999999999998</c:v>
                </c:pt>
                <c:pt idx="67">
                  <c:v>23.45</c:v>
                </c:pt>
                <c:pt idx="68">
                  <c:v>23.8</c:v>
                </c:pt>
                <c:pt idx="69">
                  <c:v>24.149999999999995</c:v>
                </c:pt>
                <c:pt idx="70">
                  <c:v>24.499999999999996</c:v>
                </c:pt>
                <c:pt idx="71">
                  <c:v>24.849999999999998</c:v>
                </c:pt>
                <c:pt idx="72">
                  <c:v>25.199999999999996</c:v>
                </c:pt>
                <c:pt idx="73">
                  <c:v>25.549999999999997</c:v>
                </c:pt>
                <c:pt idx="74">
                  <c:v>25.899999999999995</c:v>
                </c:pt>
                <c:pt idx="75">
                  <c:v>26.250000000000004</c:v>
                </c:pt>
                <c:pt idx="76">
                  <c:v>26.6</c:v>
                </c:pt>
                <c:pt idx="77">
                  <c:v>26.950000000000003</c:v>
                </c:pt>
                <c:pt idx="78">
                  <c:v>27.300000000000004</c:v>
                </c:pt>
                <c:pt idx="79">
                  <c:v>27.650000000000006</c:v>
                </c:pt>
                <c:pt idx="80">
                  <c:v>28.000000000000004</c:v>
                </c:pt>
                <c:pt idx="81">
                  <c:v>28.350000000000005</c:v>
                </c:pt>
                <c:pt idx="82">
                  <c:v>28.7</c:v>
                </c:pt>
                <c:pt idx="83">
                  <c:v>29.05</c:v>
                </c:pt>
                <c:pt idx="84">
                  <c:v>29.4</c:v>
                </c:pt>
                <c:pt idx="85">
                  <c:v>29.75</c:v>
                </c:pt>
                <c:pt idx="86">
                  <c:v>30.1</c:v>
                </c:pt>
                <c:pt idx="87">
                  <c:v>30.450000000000003</c:v>
                </c:pt>
                <c:pt idx="88">
                  <c:v>30.8</c:v>
                </c:pt>
                <c:pt idx="89">
                  <c:v>31.150000000000002</c:v>
                </c:pt>
                <c:pt idx="90">
                  <c:v>31.5</c:v>
                </c:pt>
                <c:pt idx="91">
                  <c:v>31.850000000000005</c:v>
                </c:pt>
                <c:pt idx="92">
                  <c:v>32.200000000000003</c:v>
                </c:pt>
                <c:pt idx="93">
                  <c:v>32.550000000000004</c:v>
                </c:pt>
                <c:pt idx="94">
                  <c:v>32.9</c:v>
                </c:pt>
                <c:pt idx="95">
                  <c:v>33.249999999999993</c:v>
                </c:pt>
                <c:pt idx="96">
                  <c:v>33.6</c:v>
                </c:pt>
                <c:pt idx="97">
                  <c:v>33.950000000000003</c:v>
                </c:pt>
                <c:pt idx="98">
                  <c:v>34.299999999999997</c:v>
                </c:pt>
                <c:pt idx="99">
                  <c:v>34.65</c:v>
                </c:pt>
                <c:pt idx="100">
                  <c:v>34.999999999999993</c:v>
                </c:pt>
              </c:numCache>
            </c:numRef>
          </c:val>
          <c:smooth val="0"/>
          <c:extLst>
            <c:ext xmlns:c16="http://schemas.microsoft.com/office/drawing/2014/chart" uri="{C3380CC4-5D6E-409C-BE32-E72D297353CC}">
              <c16:uniqueId val="{00000001-6856-4496-A6F8-B6C766FC0ADC}"/>
            </c:ext>
          </c:extLst>
        </c:ser>
        <c:ser>
          <c:idx val="3"/>
          <c:order val="2"/>
          <c:tx>
            <c:strRef>
              <c:f>'Calculations - Single'!$BG$3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Single'!$BL$5:$BL$105</c:f>
              <c:numCache>
                <c:formatCode>0.0</c:formatCode>
                <c:ptCount val="101"/>
                <c:pt idx="0">
                  <c:v>9.0175424513888895</c:v>
                </c:pt>
                <c:pt idx="1">
                  <c:v>9.0175424513888895</c:v>
                </c:pt>
                <c:pt idx="2">
                  <c:v>9.0175424513888895</c:v>
                </c:pt>
                <c:pt idx="3">
                  <c:v>9.0175424513888895</c:v>
                </c:pt>
                <c:pt idx="4">
                  <c:v>9.2908880002762473</c:v>
                </c:pt>
                <c:pt idx="5">
                  <c:v>9.8736100003453089</c:v>
                </c:pt>
                <c:pt idx="6">
                  <c:v>10.456332000414369</c:v>
                </c:pt>
                <c:pt idx="7">
                  <c:v>11.039054000483432</c:v>
                </c:pt>
                <c:pt idx="8">
                  <c:v>11.621776000552492</c:v>
                </c:pt>
                <c:pt idx="9">
                  <c:v>12.204498000621552</c:v>
                </c:pt>
                <c:pt idx="10">
                  <c:v>12.787220000690617</c:v>
                </c:pt>
                <c:pt idx="11">
                  <c:v>13.369942000759677</c:v>
                </c:pt>
                <c:pt idx="12">
                  <c:v>13.952664000828737</c:v>
                </c:pt>
                <c:pt idx="13">
                  <c:v>14.5353860008978</c:v>
                </c:pt>
                <c:pt idx="14">
                  <c:v>15.118108000966863</c:v>
                </c:pt>
                <c:pt idx="15">
                  <c:v>15.700830001035923</c:v>
                </c:pt>
                <c:pt idx="16">
                  <c:v>16.283552001104983</c:v>
                </c:pt>
                <c:pt idx="17">
                  <c:v>16.866274001174048</c:v>
                </c:pt>
                <c:pt idx="18">
                  <c:v>17.448996001243106</c:v>
                </c:pt>
                <c:pt idx="19">
                  <c:v>18.031718001312171</c:v>
                </c:pt>
                <c:pt idx="20">
                  <c:v>18.614440001381237</c:v>
                </c:pt>
                <c:pt idx="21">
                  <c:v>19.197162001450295</c:v>
                </c:pt>
                <c:pt idx="22">
                  <c:v>19.779884001519356</c:v>
                </c:pt>
                <c:pt idx="23">
                  <c:v>20.362606001588414</c:v>
                </c:pt>
                <c:pt idx="24">
                  <c:v>20.945328001657476</c:v>
                </c:pt>
                <c:pt idx="25">
                  <c:v>21.528050001726537</c:v>
                </c:pt>
                <c:pt idx="26">
                  <c:v>22.110772001795599</c:v>
                </c:pt>
                <c:pt idx="27">
                  <c:v>22.693494001864668</c:v>
                </c:pt>
                <c:pt idx="28">
                  <c:v>23.276216001933726</c:v>
                </c:pt>
                <c:pt idx="29">
                  <c:v>23.858938002002784</c:v>
                </c:pt>
                <c:pt idx="30">
                  <c:v>24.441660002071846</c:v>
                </c:pt>
                <c:pt idx="31">
                  <c:v>25.024382002140911</c:v>
                </c:pt>
                <c:pt idx="32">
                  <c:v>25.607104002209969</c:v>
                </c:pt>
                <c:pt idx="33">
                  <c:v>26.189826002279034</c:v>
                </c:pt>
                <c:pt idx="34">
                  <c:v>26.772548002348096</c:v>
                </c:pt>
                <c:pt idx="35">
                  <c:v>27.35527000241715</c:v>
                </c:pt>
                <c:pt idx="36">
                  <c:v>27.937992002486215</c:v>
                </c:pt>
                <c:pt idx="37">
                  <c:v>28.520714002555277</c:v>
                </c:pt>
                <c:pt idx="38">
                  <c:v>29.103436002624342</c:v>
                </c:pt>
                <c:pt idx="39">
                  <c:v>29.6861580026934</c:v>
                </c:pt>
                <c:pt idx="40">
                  <c:v>30.268880002762469</c:v>
                </c:pt>
                <c:pt idx="41">
                  <c:v>30.851602002831527</c:v>
                </c:pt>
                <c:pt idx="42">
                  <c:v>31.434324002900588</c:v>
                </c:pt>
                <c:pt idx="43">
                  <c:v>32.017046002969643</c:v>
                </c:pt>
                <c:pt idx="44">
                  <c:v>32.599768003038712</c:v>
                </c:pt>
                <c:pt idx="45">
                  <c:v>33.182490003107773</c:v>
                </c:pt>
                <c:pt idx="46">
                  <c:v>33.765212003176828</c:v>
                </c:pt>
                <c:pt idx="47">
                  <c:v>34.347934003245896</c:v>
                </c:pt>
                <c:pt idx="48">
                  <c:v>34.930656003314951</c:v>
                </c:pt>
                <c:pt idx="49">
                  <c:v>35.51337800338402</c:v>
                </c:pt>
                <c:pt idx="50">
                  <c:v>36.096100003453074</c:v>
                </c:pt>
                <c:pt idx="51">
                  <c:v>36.678822003522143</c:v>
                </c:pt>
                <c:pt idx="52">
                  <c:v>37.261544003591197</c:v>
                </c:pt>
                <c:pt idx="53">
                  <c:v>37.844266003660266</c:v>
                </c:pt>
                <c:pt idx="54">
                  <c:v>38.426988003729335</c:v>
                </c:pt>
                <c:pt idx="55">
                  <c:v>39.009710003798389</c:v>
                </c:pt>
                <c:pt idx="56">
                  <c:v>39.592432003867451</c:v>
                </c:pt>
                <c:pt idx="57">
                  <c:v>40.175154003936505</c:v>
                </c:pt>
                <c:pt idx="58">
                  <c:v>40.757876004005567</c:v>
                </c:pt>
                <c:pt idx="59">
                  <c:v>41.340598004074629</c:v>
                </c:pt>
                <c:pt idx="60">
                  <c:v>41.92332000414369</c:v>
                </c:pt>
                <c:pt idx="61">
                  <c:v>42.506042004212759</c:v>
                </c:pt>
                <c:pt idx="62">
                  <c:v>43.088764004281821</c:v>
                </c:pt>
                <c:pt idx="63">
                  <c:v>43.671486004350875</c:v>
                </c:pt>
                <c:pt idx="64">
                  <c:v>44.254208004419937</c:v>
                </c:pt>
                <c:pt idx="65">
                  <c:v>44.836930004489005</c:v>
                </c:pt>
                <c:pt idx="66">
                  <c:v>45.419652004558067</c:v>
                </c:pt>
                <c:pt idx="67">
                  <c:v>46.002374004627114</c:v>
                </c:pt>
                <c:pt idx="68">
                  <c:v>46.58509600469619</c:v>
                </c:pt>
                <c:pt idx="69">
                  <c:v>47.167818004765245</c:v>
                </c:pt>
                <c:pt idx="70">
                  <c:v>47.750540004834299</c:v>
                </c:pt>
                <c:pt idx="71">
                  <c:v>48.333262004903361</c:v>
                </c:pt>
                <c:pt idx="72">
                  <c:v>48.915984004972429</c:v>
                </c:pt>
                <c:pt idx="73">
                  <c:v>49.498706005041491</c:v>
                </c:pt>
                <c:pt idx="74">
                  <c:v>50.081428005110553</c:v>
                </c:pt>
                <c:pt idx="75">
                  <c:v>50.664150005179636</c:v>
                </c:pt>
                <c:pt idx="76">
                  <c:v>51.246872005248683</c:v>
                </c:pt>
                <c:pt idx="77">
                  <c:v>51.829594005317745</c:v>
                </c:pt>
                <c:pt idx="78">
                  <c:v>52.412316005386799</c:v>
                </c:pt>
                <c:pt idx="79">
                  <c:v>52.995038005455875</c:v>
                </c:pt>
                <c:pt idx="80">
                  <c:v>53.577760005524937</c:v>
                </c:pt>
                <c:pt idx="81">
                  <c:v>54.160482005593991</c:v>
                </c:pt>
                <c:pt idx="82">
                  <c:v>54.743204005663053</c:v>
                </c:pt>
                <c:pt idx="83">
                  <c:v>55.325926005732107</c:v>
                </c:pt>
                <c:pt idx="84">
                  <c:v>55.908648005801176</c:v>
                </c:pt>
                <c:pt idx="85">
                  <c:v>56.491370005870237</c:v>
                </c:pt>
                <c:pt idx="86">
                  <c:v>57.074092005939299</c:v>
                </c:pt>
                <c:pt idx="87">
                  <c:v>57.656814006008361</c:v>
                </c:pt>
                <c:pt idx="88">
                  <c:v>58.239536006077415</c:v>
                </c:pt>
                <c:pt idx="89">
                  <c:v>58.822258006146484</c:v>
                </c:pt>
                <c:pt idx="90">
                  <c:v>59.404980006215546</c:v>
                </c:pt>
                <c:pt idx="91">
                  <c:v>59.987702006284607</c:v>
                </c:pt>
                <c:pt idx="92">
                  <c:v>60.570424006353669</c:v>
                </c:pt>
                <c:pt idx="93">
                  <c:v>61.153146006422737</c:v>
                </c:pt>
                <c:pt idx="94">
                  <c:v>61.735868006491785</c:v>
                </c:pt>
                <c:pt idx="95">
                  <c:v>62.318590006560846</c:v>
                </c:pt>
                <c:pt idx="96">
                  <c:v>62.901312006629894</c:v>
                </c:pt>
                <c:pt idx="97">
                  <c:v>63.48403400669897</c:v>
                </c:pt>
                <c:pt idx="98">
                  <c:v>64.066756006768031</c:v>
                </c:pt>
                <c:pt idx="99">
                  <c:v>64.649478006837086</c:v>
                </c:pt>
                <c:pt idx="100">
                  <c:v>65.23220000690614</c:v>
                </c:pt>
              </c:numCache>
            </c:numRef>
          </c:val>
          <c:smooth val="0"/>
          <c:extLst>
            <c:ext xmlns:c16="http://schemas.microsoft.com/office/drawing/2014/chart" uri="{C3380CC4-5D6E-409C-BE32-E72D297353CC}">
              <c16:uniqueId val="{00000002-6856-4496-A6F8-B6C766FC0ADC}"/>
            </c:ext>
          </c:extLst>
        </c:ser>
        <c:ser>
          <c:idx val="1"/>
          <c:order val="3"/>
          <c:tx>
            <c:strRef>
              <c:f>'Calculations - Single'!$BQ$3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Single'!$BU$5:$BU$105</c:f>
              <c:numCache>
                <c:formatCode>0.0</c:formatCode>
                <c:ptCount val="101"/>
                <c:pt idx="0">
                  <c:v>4.7607936065300196</c:v>
                </c:pt>
                <c:pt idx="1">
                  <c:v>4.7607936065300196</c:v>
                </c:pt>
                <c:pt idx="2">
                  <c:v>4.7607936065300196</c:v>
                </c:pt>
                <c:pt idx="3">
                  <c:v>4.7607936065300196</c:v>
                </c:pt>
                <c:pt idx="4">
                  <c:v>4.8720404025562294</c:v>
                </c:pt>
                <c:pt idx="5">
                  <c:v>5.1093698967333356</c:v>
                </c:pt>
                <c:pt idx="6">
                  <c:v>5.3469554846136065</c:v>
                </c:pt>
                <c:pt idx="7">
                  <c:v>5.5848216811974227</c:v>
                </c:pt>
                <c:pt idx="8">
                  <c:v>5.8229910166673653</c:v>
                </c:pt>
                <c:pt idx="9">
                  <c:v>6.0614844536916666</c:v>
                </c:pt>
                <c:pt idx="10">
                  <c:v>6.3003216759020972</c:v>
                </c:pt>
                <c:pt idx="11">
                  <c:v>6.5395212972804337</c:v>
                </c:pt>
                <c:pt idx="12">
                  <c:v>6.7791010198898443</c:v>
                </c:pt>
                <c:pt idx="13">
                  <c:v>7.019077756227678</c:v>
                </c:pt>
                <c:pt idx="14">
                  <c:v>7.2594677264146874</c:v>
                </c:pt>
                <c:pt idx="15">
                  <c:v>7.5002865369265868</c:v>
                </c:pt>
                <c:pt idx="16">
                  <c:v>7.7415492454356931</c:v>
                </c:pt>
                <c:pt idx="17">
                  <c:v>7.9832704149711935</c:v>
                </c:pt>
                <c:pt idx="18">
                  <c:v>8.2254641597117448</c:v>
                </c:pt>
                <c:pt idx="19">
                  <c:v>8.4681441841166745</c:v>
                </c:pt>
                <c:pt idx="20">
                  <c:v>8.7113238166788634</c:v>
                </c:pt>
                <c:pt idx="21">
                  <c:v>8.9550160392811851</c:v>
                </c:pt>
                <c:pt idx="22">
                  <c:v>9.1992335129189655</c:v>
                </c:pt>
                <c:pt idx="23">
                  <c:v>9.4439886003889342</c:v>
                </c:pt>
                <c:pt idx="24">
                  <c:v>9.689293386423298</c:v>
                </c:pt>
                <c:pt idx="25">
                  <c:v>9.9351596956544697</c:v>
                </c:pt>
                <c:pt idx="26">
                  <c:v>10.181599108724376</c:v>
                </c:pt>
                <c:pt idx="27">
                  <c:v>10.428622976796079</c:v>
                </c:pt>
                <c:pt idx="28">
                  <c:v>10.676242434681189</c:v>
                </c:pt>
                <c:pt idx="29">
                  <c:v>10.924468412761158</c:v>
                </c:pt>
                <c:pt idx="30">
                  <c:v>11.173311647852229</c:v>
                </c:pt>
                <c:pt idx="31">
                  <c:v>11.42278269314051</c:v>
                </c:pt>
                <c:pt idx="32">
                  <c:v>11.672891927295098</c:v>
                </c:pt>
                <c:pt idx="33">
                  <c:v>11.923649562851299</c:v>
                </c:pt>
                <c:pt idx="34">
                  <c:v>12.175065653943339</c:v>
                </c:pt>
                <c:pt idx="35">
                  <c:v>12.427150103455118</c:v>
                </c:pt>
                <c:pt idx="36">
                  <c:v>12.679912669648511</c:v>
                </c:pt>
                <c:pt idx="37">
                  <c:v>12.933362972321211</c:v>
                </c:pt>
                <c:pt idx="38">
                  <c:v>13.187510498539522</c:v>
                </c:pt>
                <c:pt idx="39">
                  <c:v>13.442364607986118</c:v>
                </c:pt>
                <c:pt idx="40">
                  <c:v>13.697934537958023</c:v>
                </c:pt>
                <c:pt idx="41">
                  <c:v>13.954229408046038</c:v>
                </c:pt>
                <c:pt idx="42">
                  <c:v>14.211258224523311</c:v>
                </c:pt>
                <c:pt idx="43">
                  <c:v>14.469029884467783</c:v>
                </c:pt>
                <c:pt idx="44">
                  <c:v>14.727553179640561</c:v>
                </c:pt>
                <c:pt idx="45">
                  <c:v>14.986836800139962</c:v>
                </c:pt>
                <c:pt idx="46">
                  <c:v>15.246889337849034</c:v>
                </c:pt>
                <c:pt idx="47">
                  <c:v>15.507719289692471</c:v>
                </c:pt>
                <c:pt idx="48">
                  <c:v>15.769335060717436</c:v>
                </c:pt>
                <c:pt idx="49">
                  <c:v>16.031744967011257</c:v>
                </c:pt>
                <c:pt idx="50">
                  <c:v>16.294957238467887</c:v>
                </c:pt>
                <c:pt idx="51">
                  <c:v>16.558980021413934</c:v>
                </c:pt>
                <c:pt idx="52">
                  <c:v>16.823821381103876</c:v>
                </c:pt>
                <c:pt idx="53">
                  <c:v>17.08948930409364</c:v>
                </c:pt>
                <c:pt idx="54">
                  <c:v>17.355991700500425</c:v>
                </c:pt>
                <c:pt idx="55">
                  <c:v>17.623336406156557</c:v>
                </c:pt>
                <c:pt idx="56">
                  <c:v>17.891531184663886</c:v>
                </c:pt>
                <c:pt idx="57">
                  <c:v>18.160583729355313</c:v>
                </c:pt>
                <c:pt idx="58">
                  <c:v>18.430501665169071</c:v>
                </c:pt>
                <c:pt idx="59">
                  <c:v>18.701292550441092</c:v>
                </c:pt>
                <c:pt idx="60">
                  <c:v>18.972963878620494</c:v>
                </c:pt>
                <c:pt idx="61">
                  <c:v>19.245523079912626</c:v>
                </c:pt>
                <c:pt idx="62">
                  <c:v>19.518977522853902</c:v>
                </c:pt>
                <c:pt idx="63">
                  <c:v>19.793334515822391</c:v>
                </c:pt>
                <c:pt idx="64">
                  <c:v>20.068601308487658</c:v>
                </c:pt>
                <c:pt idx="65">
                  <c:v>20.344785093203345</c:v>
                </c:pt>
                <c:pt idx="66">
                  <c:v>20.621893006345502</c:v>
                </c:pt>
                <c:pt idx="67">
                  <c:v>20.899932129599673</c:v>
                </c:pt>
                <c:pt idx="68">
                  <c:v>21.17890949119937</c:v>
                </c:pt>
                <c:pt idx="69">
                  <c:v>21.458832067118497</c:v>
                </c:pt>
                <c:pt idx="70">
                  <c:v>21.739706782220111</c:v>
                </c:pt>
                <c:pt idx="71">
                  <c:v>22.021540511363664</c:v>
                </c:pt>
                <c:pt idx="72">
                  <c:v>22.304340080472898</c:v>
                </c:pt>
                <c:pt idx="73">
                  <c:v>22.588112267566167</c:v>
                </c:pt>
                <c:pt idx="74">
                  <c:v>22.872863803751187</c:v>
                </c:pt>
                <c:pt idx="75">
                  <c:v>23.158601374185789</c:v>
                </c:pt>
                <c:pt idx="76">
                  <c:v>23.445331619006296</c:v>
                </c:pt>
                <c:pt idx="77">
                  <c:v>23.733061134225153</c:v>
                </c:pt>
                <c:pt idx="78">
                  <c:v>24.02179647259895</c:v>
                </c:pt>
                <c:pt idx="79">
                  <c:v>24.311544144468524</c:v>
                </c:pt>
                <c:pt idx="80">
                  <c:v>24.602310618572091</c:v>
                </c:pt>
                <c:pt idx="81">
                  <c:v>24.89410232283279</c:v>
                </c:pt>
                <c:pt idx="82">
                  <c:v>25.186925645121665</c:v>
                </c:pt>
                <c:pt idx="83">
                  <c:v>25.48078693399717</c:v>
                </c:pt>
                <c:pt idx="84">
                  <c:v>25.775692499422206</c:v>
                </c:pt>
                <c:pt idx="85">
                  <c:v>26.071648613459583</c:v>
                </c:pt>
                <c:pt idx="86">
                  <c:v>26.36866151094689</c:v>
                </c:pt>
                <c:pt idx="87">
                  <c:v>26.666737390151546</c:v>
                </c:pt>
                <c:pt idx="88">
                  <c:v>26.965882413406867</c:v>
                </c:pt>
                <c:pt idx="89">
                  <c:v>27.266102707729907</c:v>
                </c:pt>
                <c:pt idx="90">
                  <c:v>27.567404365421773</c:v>
                </c:pt>
                <c:pt idx="91">
                  <c:v>27.869793444651162</c:v>
                </c:pt>
                <c:pt idx="92">
                  <c:v>28.173275970021699</c:v>
                </c:pt>
                <c:pt idx="93">
                  <c:v>28.477857933123754</c:v>
                </c:pt>
                <c:pt idx="94">
                  <c:v>28.783545293071246</c:v>
                </c:pt>
                <c:pt idx="95">
                  <c:v>29.090343977024183</c:v>
                </c:pt>
                <c:pt idx="96">
                  <c:v>29.398259880697132</c:v>
                </c:pt>
                <c:pt idx="97">
                  <c:v>29.7072988688546</c:v>
                </c:pt>
                <c:pt idx="98">
                  <c:v>30.017466775793302</c:v>
                </c:pt>
                <c:pt idx="99">
                  <c:v>30.328769405812153</c:v>
                </c:pt>
                <c:pt idx="100">
                  <c:v>30.641212533670391</c:v>
                </c:pt>
              </c:numCache>
            </c:numRef>
          </c:val>
          <c:smooth val="0"/>
          <c:extLst>
            <c:ext xmlns:c16="http://schemas.microsoft.com/office/drawing/2014/chart" uri="{C3380CC4-5D6E-409C-BE32-E72D297353CC}">
              <c16:uniqueId val="{00000003-6856-4496-A6F8-B6C766FC0ADC}"/>
            </c:ext>
          </c:extLst>
        </c:ser>
        <c:dLbls>
          <c:showLegendKey val="0"/>
          <c:showVal val="0"/>
          <c:showCatName val="0"/>
          <c:showSerName val="0"/>
          <c:showPercent val="0"/>
          <c:showBubbleSize val="0"/>
        </c:dLbls>
        <c:marker val="1"/>
        <c:smooth val="0"/>
        <c:axId val="142285824"/>
        <c:axId val="142283904"/>
      </c:lineChart>
      <c:catAx>
        <c:axId val="14227161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cs-CZ"/>
          </a:p>
        </c:txPr>
        <c:crossAx val="142273536"/>
        <c:crosses val="autoZero"/>
        <c:auto val="1"/>
        <c:lblAlgn val="ctr"/>
        <c:lblOffset val="100"/>
        <c:tickLblSkip val="20"/>
        <c:tickMarkSkip val="20"/>
        <c:noMultiLvlLbl val="0"/>
      </c:catAx>
      <c:valAx>
        <c:axId val="14227353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cs-CZ"/>
          </a:p>
        </c:txPr>
        <c:crossAx val="142271616"/>
        <c:crossesAt val="0"/>
        <c:crossBetween val="between"/>
        <c:majorUnit val="5"/>
        <c:minorUnit val="2.5"/>
      </c:valAx>
      <c:valAx>
        <c:axId val="14228390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cs-CZ"/>
          </a:p>
        </c:txPr>
        <c:crossAx val="142285824"/>
        <c:crosses val="max"/>
        <c:crossBetween val="between"/>
      </c:valAx>
      <c:catAx>
        <c:axId val="142285824"/>
        <c:scaling>
          <c:orientation val="minMax"/>
        </c:scaling>
        <c:delete val="1"/>
        <c:axPos val="b"/>
        <c:numFmt formatCode="General" sourceLinked="1"/>
        <c:majorTickMark val="out"/>
        <c:minorTickMark val="none"/>
        <c:tickLblPos val="nextTo"/>
        <c:crossAx val="14228390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cs-CZ"/>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cs-CZ"/>
    </a:p>
  </c:txPr>
  <c:printSettings>
    <c:headerFooter alignWithMargins="0"/>
    <c:pageMargins b="1" l="0.750000000000006" r="0.750000000000006" t="1" header="0.5" footer="0.5"/>
    <c:pageSetup paperSize="5"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3.9892589721079133E-2"/>
          <c:w val="0.86047278973849184"/>
          <c:h val="0.83734080468357386"/>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Single'!$AN$110:$AN$210</c:f>
              <c:numCache>
                <c:formatCode>0.0</c:formatCode>
                <c:ptCount val="101"/>
                <c:pt idx="0">
                  <c:v>10</c:v>
                </c:pt>
                <c:pt idx="1">
                  <c:v>10</c:v>
                </c:pt>
                <c:pt idx="2">
                  <c:v>10</c:v>
                </c:pt>
                <c:pt idx="3">
                  <c:v>10</c:v>
                </c:pt>
                <c:pt idx="4">
                  <c:v>11.328505026483622</c:v>
                </c:pt>
                <c:pt idx="5">
                  <c:v>14.16063128310453</c:v>
                </c:pt>
                <c:pt idx="6">
                  <c:v>16.992757539725432</c:v>
                </c:pt>
                <c:pt idx="7">
                  <c:v>19.824883796346342</c:v>
                </c:pt>
                <c:pt idx="8">
                  <c:v>22.657010052967244</c:v>
                </c:pt>
                <c:pt idx="9">
                  <c:v>25.489136309588147</c:v>
                </c:pt>
                <c:pt idx="10">
                  <c:v>28.321262566209061</c:v>
                </c:pt>
                <c:pt idx="11">
                  <c:v>31.15338882282996</c:v>
                </c:pt>
                <c:pt idx="12">
                  <c:v>33.985515079450863</c:v>
                </c:pt>
                <c:pt idx="13">
                  <c:v>36.817641336071773</c:v>
                </c:pt>
                <c:pt idx="14">
                  <c:v>39.649767592692683</c:v>
                </c:pt>
                <c:pt idx="15">
                  <c:v>42.481893849313579</c:v>
                </c:pt>
                <c:pt idx="16">
                  <c:v>45.314020105934489</c:v>
                </c:pt>
                <c:pt idx="17">
                  <c:v>48.146146362555392</c:v>
                </c:pt>
                <c:pt idx="18">
                  <c:v>50.978272619176295</c:v>
                </c:pt>
                <c:pt idx="19">
                  <c:v>53.810398875797212</c:v>
                </c:pt>
                <c:pt idx="20">
                  <c:v>56.642525132418122</c:v>
                </c:pt>
                <c:pt idx="21">
                  <c:v>59.474651389039018</c:v>
                </c:pt>
                <c:pt idx="22">
                  <c:v>62.30677764565992</c:v>
                </c:pt>
                <c:pt idx="23">
                  <c:v>65.13890390228083</c:v>
                </c:pt>
                <c:pt idx="24">
                  <c:v>67.971030158901726</c:v>
                </c:pt>
                <c:pt idx="25">
                  <c:v>70.803156415522636</c:v>
                </c:pt>
                <c:pt idx="26">
                  <c:v>73.635282672143546</c:v>
                </c:pt>
                <c:pt idx="27">
                  <c:v>76.467408928764456</c:v>
                </c:pt>
                <c:pt idx="28">
                  <c:v>79.299535185385366</c:v>
                </c:pt>
                <c:pt idx="29">
                  <c:v>82.131661442006248</c:v>
                </c:pt>
                <c:pt idx="30">
                  <c:v>84.963787698627158</c:v>
                </c:pt>
                <c:pt idx="31">
                  <c:v>87.795913955248068</c:v>
                </c:pt>
                <c:pt idx="32">
                  <c:v>90.628040211868978</c:v>
                </c:pt>
                <c:pt idx="33">
                  <c:v>93.460166468489888</c:v>
                </c:pt>
                <c:pt idx="34">
                  <c:v>96.292292725110784</c:v>
                </c:pt>
                <c:pt idx="35">
                  <c:v>99.124418981731679</c:v>
                </c:pt>
                <c:pt idx="36">
                  <c:v>101.95654523835259</c:v>
                </c:pt>
                <c:pt idx="37">
                  <c:v>104.7886714949735</c:v>
                </c:pt>
                <c:pt idx="38">
                  <c:v>107.62079775159442</c:v>
                </c:pt>
                <c:pt idx="39">
                  <c:v>110.45292400821532</c:v>
                </c:pt>
                <c:pt idx="40">
                  <c:v>113.28505026483624</c:v>
                </c:pt>
                <c:pt idx="41">
                  <c:v>116.11717652145714</c:v>
                </c:pt>
                <c:pt idx="42">
                  <c:v>118.94930277807804</c:v>
                </c:pt>
                <c:pt idx="43">
                  <c:v>121.78142903469895</c:v>
                </c:pt>
                <c:pt idx="44">
                  <c:v>124.61355529131984</c:v>
                </c:pt>
                <c:pt idx="45">
                  <c:v>127.44568154794077</c:v>
                </c:pt>
                <c:pt idx="46">
                  <c:v>130.27780780456166</c:v>
                </c:pt>
                <c:pt idx="47">
                  <c:v>133.10993406118254</c:v>
                </c:pt>
                <c:pt idx="48">
                  <c:v>135.94206031780345</c:v>
                </c:pt>
                <c:pt idx="49">
                  <c:v>138.77418657442439</c:v>
                </c:pt>
                <c:pt idx="50">
                  <c:v>141.60631283104527</c:v>
                </c:pt>
                <c:pt idx="51">
                  <c:v>144.43843908766618</c:v>
                </c:pt>
                <c:pt idx="52">
                  <c:v>147.27056534428709</c:v>
                </c:pt>
                <c:pt idx="53">
                  <c:v>150.102691600908</c:v>
                </c:pt>
                <c:pt idx="54">
                  <c:v>152.93481785752891</c:v>
                </c:pt>
                <c:pt idx="55">
                  <c:v>155.76694411414982</c:v>
                </c:pt>
                <c:pt idx="56">
                  <c:v>158.59907037077073</c:v>
                </c:pt>
                <c:pt idx="57">
                  <c:v>161.43119662739159</c:v>
                </c:pt>
                <c:pt idx="58">
                  <c:v>164.2633228840125</c:v>
                </c:pt>
                <c:pt idx="59">
                  <c:v>167.09544914063341</c:v>
                </c:pt>
                <c:pt idx="60">
                  <c:v>169.92757539725432</c:v>
                </c:pt>
                <c:pt idx="61">
                  <c:v>172.75970165387523</c:v>
                </c:pt>
                <c:pt idx="62">
                  <c:v>175.59182791049614</c:v>
                </c:pt>
                <c:pt idx="63">
                  <c:v>178.42395416711705</c:v>
                </c:pt>
                <c:pt idx="64">
                  <c:v>181.25608042373796</c:v>
                </c:pt>
                <c:pt idx="65">
                  <c:v>184.08820668035887</c:v>
                </c:pt>
                <c:pt idx="66">
                  <c:v>186.92033293697978</c:v>
                </c:pt>
                <c:pt idx="67">
                  <c:v>189.75245919360066</c:v>
                </c:pt>
                <c:pt idx="68">
                  <c:v>192.58458545022157</c:v>
                </c:pt>
                <c:pt idx="69">
                  <c:v>195.41671170684245</c:v>
                </c:pt>
                <c:pt idx="70">
                  <c:v>198.24883796346336</c:v>
                </c:pt>
                <c:pt idx="71">
                  <c:v>201.08096422008427</c:v>
                </c:pt>
                <c:pt idx="72">
                  <c:v>203.91309047670518</c:v>
                </c:pt>
                <c:pt idx="73">
                  <c:v>206.74521673332609</c:v>
                </c:pt>
                <c:pt idx="74">
                  <c:v>209.577342989947</c:v>
                </c:pt>
                <c:pt idx="75">
                  <c:v>212.40946924656794</c:v>
                </c:pt>
                <c:pt idx="76">
                  <c:v>215.24159550318885</c:v>
                </c:pt>
                <c:pt idx="77">
                  <c:v>218.07372175980976</c:v>
                </c:pt>
                <c:pt idx="78">
                  <c:v>220.90584801643064</c:v>
                </c:pt>
                <c:pt idx="79">
                  <c:v>223.73797427305158</c:v>
                </c:pt>
                <c:pt idx="80">
                  <c:v>226.57010052967249</c:v>
                </c:pt>
                <c:pt idx="81">
                  <c:v>229.40222678629337</c:v>
                </c:pt>
                <c:pt idx="82">
                  <c:v>232.23435304291428</c:v>
                </c:pt>
                <c:pt idx="83">
                  <c:v>235.06647929953516</c:v>
                </c:pt>
                <c:pt idx="84">
                  <c:v>237.89860555615607</c:v>
                </c:pt>
                <c:pt idx="85">
                  <c:v>240.73073181277698</c:v>
                </c:pt>
                <c:pt idx="86">
                  <c:v>243.56285806939789</c:v>
                </c:pt>
                <c:pt idx="87">
                  <c:v>246.3949843260188</c:v>
                </c:pt>
                <c:pt idx="88">
                  <c:v>249.22711058263968</c:v>
                </c:pt>
                <c:pt idx="89">
                  <c:v>252.05923683926062</c:v>
                </c:pt>
                <c:pt idx="90">
                  <c:v>254.89136309588153</c:v>
                </c:pt>
                <c:pt idx="91">
                  <c:v>257.72348935250244</c:v>
                </c:pt>
                <c:pt idx="92">
                  <c:v>260.55561560912332</c:v>
                </c:pt>
                <c:pt idx="93">
                  <c:v>263.38774186574426</c:v>
                </c:pt>
                <c:pt idx="94">
                  <c:v>266.21986812236509</c:v>
                </c:pt>
                <c:pt idx="95">
                  <c:v>269.05199437898602</c:v>
                </c:pt>
                <c:pt idx="96">
                  <c:v>271.88412063560691</c:v>
                </c:pt>
                <c:pt idx="97">
                  <c:v>274.71624689222784</c:v>
                </c:pt>
                <c:pt idx="98">
                  <c:v>277.54837314884878</c:v>
                </c:pt>
                <c:pt idx="99">
                  <c:v>280.38049940546961</c:v>
                </c:pt>
                <c:pt idx="100">
                  <c:v>283.21262566209055</c:v>
                </c:pt>
              </c:numCache>
            </c:numRef>
          </c:val>
          <c:smooth val="0"/>
          <c:extLst>
            <c:ext xmlns:c16="http://schemas.microsoft.com/office/drawing/2014/chart" uri="{C3380CC4-5D6E-409C-BE32-E72D297353CC}">
              <c16:uniqueId val="{00000000-30B3-40C9-BD4B-8D9D0DFC5FDB}"/>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Single'!$AN$5:$AN$105</c:f>
              <c:numCache>
                <c:formatCode>0.0</c:formatCode>
                <c:ptCount val="101"/>
                <c:pt idx="0">
                  <c:v>10</c:v>
                </c:pt>
                <c:pt idx="1">
                  <c:v>10</c:v>
                </c:pt>
                <c:pt idx="2">
                  <c:v>10</c:v>
                </c:pt>
                <c:pt idx="3">
                  <c:v>10</c:v>
                </c:pt>
                <c:pt idx="4">
                  <c:v>11.328505026483622</c:v>
                </c:pt>
                <c:pt idx="5">
                  <c:v>14.16063128310453</c:v>
                </c:pt>
                <c:pt idx="6">
                  <c:v>16.992757539725432</c:v>
                </c:pt>
                <c:pt idx="7">
                  <c:v>19.824883796346342</c:v>
                </c:pt>
                <c:pt idx="8">
                  <c:v>22.657010052967244</c:v>
                </c:pt>
                <c:pt idx="9">
                  <c:v>25.489136309588147</c:v>
                </c:pt>
                <c:pt idx="10">
                  <c:v>28.321262566209061</c:v>
                </c:pt>
                <c:pt idx="11">
                  <c:v>31.15338882282996</c:v>
                </c:pt>
                <c:pt idx="12">
                  <c:v>33.985515079450863</c:v>
                </c:pt>
                <c:pt idx="13">
                  <c:v>36.817641336071773</c:v>
                </c:pt>
                <c:pt idx="14">
                  <c:v>39.649767592692683</c:v>
                </c:pt>
                <c:pt idx="15">
                  <c:v>42.481893849313579</c:v>
                </c:pt>
                <c:pt idx="16">
                  <c:v>45.314020105934489</c:v>
                </c:pt>
                <c:pt idx="17">
                  <c:v>48.146146362555392</c:v>
                </c:pt>
                <c:pt idx="18">
                  <c:v>50.978272619176295</c:v>
                </c:pt>
                <c:pt idx="19">
                  <c:v>53.810398875797212</c:v>
                </c:pt>
                <c:pt idx="20">
                  <c:v>56.642525132418122</c:v>
                </c:pt>
                <c:pt idx="21">
                  <c:v>59.474651389039018</c:v>
                </c:pt>
                <c:pt idx="22">
                  <c:v>62.30677764565992</c:v>
                </c:pt>
                <c:pt idx="23">
                  <c:v>65.13890390228083</c:v>
                </c:pt>
                <c:pt idx="24">
                  <c:v>67.971030158901726</c:v>
                </c:pt>
                <c:pt idx="25">
                  <c:v>70.803156415522636</c:v>
                </c:pt>
                <c:pt idx="26">
                  <c:v>73.635282672143546</c:v>
                </c:pt>
                <c:pt idx="27">
                  <c:v>76.467408928764456</c:v>
                </c:pt>
                <c:pt idx="28">
                  <c:v>79.299535185385366</c:v>
                </c:pt>
                <c:pt idx="29">
                  <c:v>82.131661442006248</c:v>
                </c:pt>
                <c:pt idx="30">
                  <c:v>84.963787698627158</c:v>
                </c:pt>
                <c:pt idx="31">
                  <c:v>87.795913955248068</c:v>
                </c:pt>
                <c:pt idx="32">
                  <c:v>90.628040211868978</c:v>
                </c:pt>
                <c:pt idx="33">
                  <c:v>93.460166468489888</c:v>
                </c:pt>
                <c:pt idx="34">
                  <c:v>96.292292725110784</c:v>
                </c:pt>
                <c:pt idx="35">
                  <c:v>99.124418981731679</c:v>
                </c:pt>
                <c:pt idx="36">
                  <c:v>101.95654523835259</c:v>
                </c:pt>
                <c:pt idx="37">
                  <c:v>104.7886714949735</c:v>
                </c:pt>
                <c:pt idx="38">
                  <c:v>107.62079775159442</c:v>
                </c:pt>
                <c:pt idx="39">
                  <c:v>110.45292400821532</c:v>
                </c:pt>
                <c:pt idx="40">
                  <c:v>113.28505026483624</c:v>
                </c:pt>
                <c:pt idx="41">
                  <c:v>116.11717652145714</c:v>
                </c:pt>
                <c:pt idx="42">
                  <c:v>118.94930277807804</c:v>
                </c:pt>
                <c:pt idx="43">
                  <c:v>121.78142903469895</c:v>
                </c:pt>
                <c:pt idx="44">
                  <c:v>124.61355529131984</c:v>
                </c:pt>
                <c:pt idx="45">
                  <c:v>127.44568154794077</c:v>
                </c:pt>
                <c:pt idx="46">
                  <c:v>130.27780780456166</c:v>
                </c:pt>
                <c:pt idx="47">
                  <c:v>133.10993406118254</c:v>
                </c:pt>
                <c:pt idx="48">
                  <c:v>135.94206031780345</c:v>
                </c:pt>
                <c:pt idx="49">
                  <c:v>138.77418657442439</c:v>
                </c:pt>
                <c:pt idx="50">
                  <c:v>141.60631283104527</c:v>
                </c:pt>
                <c:pt idx="51">
                  <c:v>144.43843908766618</c:v>
                </c:pt>
                <c:pt idx="52">
                  <c:v>147.27056534428709</c:v>
                </c:pt>
                <c:pt idx="53">
                  <c:v>150.102691600908</c:v>
                </c:pt>
                <c:pt idx="54">
                  <c:v>152.93481785752891</c:v>
                </c:pt>
                <c:pt idx="55">
                  <c:v>155.76694411414982</c:v>
                </c:pt>
                <c:pt idx="56">
                  <c:v>158.59907037077073</c:v>
                </c:pt>
                <c:pt idx="57">
                  <c:v>161.43119662739159</c:v>
                </c:pt>
                <c:pt idx="58">
                  <c:v>164.2633228840125</c:v>
                </c:pt>
                <c:pt idx="59">
                  <c:v>167.09544914063341</c:v>
                </c:pt>
                <c:pt idx="60">
                  <c:v>169.92757539725432</c:v>
                </c:pt>
                <c:pt idx="61">
                  <c:v>172.75970165387523</c:v>
                </c:pt>
                <c:pt idx="62">
                  <c:v>175.59182791049614</c:v>
                </c:pt>
                <c:pt idx="63">
                  <c:v>178.42395416711705</c:v>
                </c:pt>
                <c:pt idx="64">
                  <c:v>181.25608042373796</c:v>
                </c:pt>
                <c:pt idx="65">
                  <c:v>184.08820668035887</c:v>
                </c:pt>
                <c:pt idx="66">
                  <c:v>186.92033293697978</c:v>
                </c:pt>
                <c:pt idx="67">
                  <c:v>189.75245919360066</c:v>
                </c:pt>
                <c:pt idx="68">
                  <c:v>192.58458545022157</c:v>
                </c:pt>
                <c:pt idx="69">
                  <c:v>195.41671170684245</c:v>
                </c:pt>
                <c:pt idx="70">
                  <c:v>198.24883796346336</c:v>
                </c:pt>
                <c:pt idx="71">
                  <c:v>201.08096422008427</c:v>
                </c:pt>
                <c:pt idx="72">
                  <c:v>203.91309047670518</c:v>
                </c:pt>
                <c:pt idx="73">
                  <c:v>206.74521673332609</c:v>
                </c:pt>
                <c:pt idx="74">
                  <c:v>209.577342989947</c:v>
                </c:pt>
                <c:pt idx="75">
                  <c:v>212.40946924656794</c:v>
                </c:pt>
                <c:pt idx="76">
                  <c:v>215.24159550318885</c:v>
                </c:pt>
                <c:pt idx="77">
                  <c:v>218.07372175980976</c:v>
                </c:pt>
                <c:pt idx="78">
                  <c:v>220.90584801643064</c:v>
                </c:pt>
                <c:pt idx="79">
                  <c:v>223.73797427305158</c:v>
                </c:pt>
                <c:pt idx="80">
                  <c:v>226.57010052967249</c:v>
                </c:pt>
                <c:pt idx="81">
                  <c:v>229.40222678629337</c:v>
                </c:pt>
                <c:pt idx="82">
                  <c:v>232.23435304291428</c:v>
                </c:pt>
                <c:pt idx="83">
                  <c:v>235.06647929953516</c:v>
                </c:pt>
                <c:pt idx="84">
                  <c:v>237.89860555615607</c:v>
                </c:pt>
                <c:pt idx="85">
                  <c:v>240.73073181277698</c:v>
                </c:pt>
                <c:pt idx="86">
                  <c:v>243.56285806939789</c:v>
                </c:pt>
                <c:pt idx="87">
                  <c:v>246.3949843260188</c:v>
                </c:pt>
                <c:pt idx="88">
                  <c:v>249.22711058263968</c:v>
                </c:pt>
                <c:pt idx="89">
                  <c:v>252.05923683926062</c:v>
                </c:pt>
                <c:pt idx="90">
                  <c:v>254.89136309588153</c:v>
                </c:pt>
                <c:pt idx="91">
                  <c:v>257.72348935250244</c:v>
                </c:pt>
                <c:pt idx="92">
                  <c:v>260.55561560912332</c:v>
                </c:pt>
                <c:pt idx="93">
                  <c:v>263.38774186574426</c:v>
                </c:pt>
                <c:pt idx="94">
                  <c:v>266.21986812236509</c:v>
                </c:pt>
                <c:pt idx="95">
                  <c:v>269.05199437898602</c:v>
                </c:pt>
                <c:pt idx="96">
                  <c:v>271.88412063560691</c:v>
                </c:pt>
                <c:pt idx="97">
                  <c:v>274.71624689222784</c:v>
                </c:pt>
                <c:pt idx="98">
                  <c:v>277.54837314884878</c:v>
                </c:pt>
                <c:pt idx="99">
                  <c:v>280.38049940546961</c:v>
                </c:pt>
                <c:pt idx="100">
                  <c:v>283.21262566209055</c:v>
                </c:pt>
              </c:numCache>
            </c:numRef>
          </c:val>
          <c:smooth val="0"/>
          <c:extLst>
            <c:ext xmlns:c16="http://schemas.microsoft.com/office/drawing/2014/chart" uri="{C3380CC4-5D6E-409C-BE32-E72D297353CC}">
              <c16:uniqueId val="{00000001-30B3-40C9-BD4B-8D9D0DFC5FDB}"/>
            </c:ext>
          </c:extLst>
        </c:ser>
        <c:ser>
          <c:idx val="2"/>
          <c:order val="2"/>
          <c:tx>
            <c:v>VIN-max</c:v>
          </c:tx>
          <c:spPr>
            <a:ln>
              <a:solidFill>
                <a:srgbClr val="FF0000"/>
              </a:solidFill>
              <a:prstDash val="solid"/>
            </a:ln>
          </c:spPr>
          <c:marker>
            <c:symbol val="none"/>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Single'!$AN$216:$AN$316</c:f>
              <c:numCache>
                <c:formatCode>0.0</c:formatCode>
                <c:ptCount val="101"/>
                <c:pt idx="0">
                  <c:v>10</c:v>
                </c:pt>
                <c:pt idx="1">
                  <c:v>10</c:v>
                </c:pt>
                <c:pt idx="2">
                  <c:v>10</c:v>
                </c:pt>
                <c:pt idx="3">
                  <c:v>10</c:v>
                </c:pt>
                <c:pt idx="4">
                  <c:v>11.328505026483622</c:v>
                </c:pt>
                <c:pt idx="5">
                  <c:v>14.16063128310453</c:v>
                </c:pt>
                <c:pt idx="6">
                  <c:v>16.992757539725432</c:v>
                </c:pt>
                <c:pt idx="7">
                  <c:v>19.824883796346342</c:v>
                </c:pt>
                <c:pt idx="8">
                  <c:v>22.657010052967244</c:v>
                </c:pt>
                <c:pt idx="9">
                  <c:v>25.489136309588147</c:v>
                </c:pt>
                <c:pt idx="10">
                  <c:v>28.321262566209061</c:v>
                </c:pt>
                <c:pt idx="11">
                  <c:v>31.15338882282996</c:v>
                </c:pt>
                <c:pt idx="12">
                  <c:v>33.985515079450863</c:v>
                </c:pt>
                <c:pt idx="13">
                  <c:v>36.817641336071773</c:v>
                </c:pt>
                <c:pt idx="14">
                  <c:v>39.649767592692683</c:v>
                </c:pt>
                <c:pt idx="15">
                  <c:v>42.481893849313579</c:v>
                </c:pt>
                <c:pt idx="16">
                  <c:v>45.314020105934489</c:v>
                </c:pt>
                <c:pt idx="17">
                  <c:v>48.146146362555392</c:v>
                </c:pt>
                <c:pt idx="18">
                  <c:v>50.978272619176295</c:v>
                </c:pt>
                <c:pt idx="19">
                  <c:v>53.810398875797212</c:v>
                </c:pt>
                <c:pt idx="20">
                  <c:v>56.642525132418122</c:v>
                </c:pt>
                <c:pt idx="21">
                  <c:v>59.474651389039018</c:v>
                </c:pt>
                <c:pt idx="22">
                  <c:v>62.30677764565992</c:v>
                </c:pt>
                <c:pt idx="23">
                  <c:v>65.13890390228083</c:v>
                </c:pt>
                <c:pt idx="24">
                  <c:v>67.971030158901726</c:v>
                </c:pt>
                <c:pt idx="25">
                  <c:v>70.803156415522636</c:v>
                </c:pt>
                <c:pt idx="26">
                  <c:v>73.635282672143546</c:v>
                </c:pt>
                <c:pt idx="27">
                  <c:v>76.467408928764456</c:v>
                </c:pt>
                <c:pt idx="28">
                  <c:v>79.299535185385366</c:v>
                </c:pt>
                <c:pt idx="29">
                  <c:v>82.131661442006248</c:v>
                </c:pt>
                <c:pt idx="30">
                  <c:v>84.963787698627158</c:v>
                </c:pt>
                <c:pt idx="31">
                  <c:v>87.795913955248068</c:v>
                </c:pt>
                <c:pt idx="32">
                  <c:v>90.628040211868978</c:v>
                </c:pt>
                <c:pt idx="33">
                  <c:v>93.460166468489888</c:v>
                </c:pt>
                <c:pt idx="34">
                  <c:v>96.292292725110784</c:v>
                </c:pt>
                <c:pt idx="35">
                  <c:v>99.124418981731679</c:v>
                </c:pt>
                <c:pt idx="36">
                  <c:v>101.95654523835259</c:v>
                </c:pt>
                <c:pt idx="37">
                  <c:v>104.7886714949735</c:v>
                </c:pt>
                <c:pt idx="38">
                  <c:v>107.62079775159442</c:v>
                </c:pt>
                <c:pt idx="39">
                  <c:v>110.45292400821532</c:v>
                </c:pt>
                <c:pt idx="40">
                  <c:v>113.28505026483624</c:v>
                </c:pt>
                <c:pt idx="41">
                  <c:v>116.11717652145714</c:v>
                </c:pt>
                <c:pt idx="42">
                  <c:v>118.94930277807804</c:v>
                </c:pt>
                <c:pt idx="43">
                  <c:v>121.78142903469895</c:v>
                </c:pt>
                <c:pt idx="44">
                  <c:v>124.61355529131984</c:v>
                </c:pt>
                <c:pt idx="45">
                  <c:v>127.44568154794077</c:v>
                </c:pt>
                <c:pt idx="46">
                  <c:v>130.27780780456166</c:v>
                </c:pt>
                <c:pt idx="47">
                  <c:v>133.10993406118254</c:v>
                </c:pt>
                <c:pt idx="48">
                  <c:v>135.94206031780345</c:v>
                </c:pt>
                <c:pt idx="49">
                  <c:v>138.77418657442439</c:v>
                </c:pt>
                <c:pt idx="50">
                  <c:v>141.60631283104527</c:v>
                </c:pt>
                <c:pt idx="51">
                  <c:v>144.43843908766618</c:v>
                </c:pt>
                <c:pt idx="52">
                  <c:v>147.27056534428709</c:v>
                </c:pt>
                <c:pt idx="53">
                  <c:v>150.102691600908</c:v>
                </c:pt>
                <c:pt idx="54">
                  <c:v>152.93481785752891</c:v>
                </c:pt>
                <c:pt idx="55">
                  <c:v>155.76694411414982</c:v>
                </c:pt>
                <c:pt idx="56">
                  <c:v>158.59907037077073</c:v>
                </c:pt>
                <c:pt idx="57">
                  <c:v>161.43119662739159</c:v>
                </c:pt>
                <c:pt idx="58">
                  <c:v>164.2633228840125</c:v>
                </c:pt>
                <c:pt idx="59">
                  <c:v>167.09544914063341</c:v>
                </c:pt>
                <c:pt idx="60">
                  <c:v>169.92757539725432</c:v>
                </c:pt>
                <c:pt idx="61">
                  <c:v>172.75970165387523</c:v>
                </c:pt>
                <c:pt idx="62">
                  <c:v>175.59182791049614</c:v>
                </c:pt>
                <c:pt idx="63">
                  <c:v>178.42395416711705</c:v>
                </c:pt>
                <c:pt idx="64">
                  <c:v>181.25608042373796</c:v>
                </c:pt>
                <c:pt idx="65">
                  <c:v>184.08820668035887</c:v>
                </c:pt>
                <c:pt idx="66">
                  <c:v>186.92033293697978</c:v>
                </c:pt>
                <c:pt idx="67">
                  <c:v>189.75245919360066</c:v>
                </c:pt>
                <c:pt idx="68">
                  <c:v>192.58458545022157</c:v>
                </c:pt>
                <c:pt idx="69">
                  <c:v>195.41671170684245</c:v>
                </c:pt>
                <c:pt idx="70">
                  <c:v>198.24883796346336</c:v>
                </c:pt>
                <c:pt idx="71">
                  <c:v>201.08096422008427</c:v>
                </c:pt>
                <c:pt idx="72">
                  <c:v>203.91309047670518</c:v>
                </c:pt>
                <c:pt idx="73">
                  <c:v>206.74521673332609</c:v>
                </c:pt>
                <c:pt idx="74">
                  <c:v>209.577342989947</c:v>
                </c:pt>
                <c:pt idx="75">
                  <c:v>212.40946924656794</c:v>
                </c:pt>
                <c:pt idx="76">
                  <c:v>215.24159550318885</c:v>
                </c:pt>
                <c:pt idx="77">
                  <c:v>218.07372175980976</c:v>
                </c:pt>
                <c:pt idx="78">
                  <c:v>220.90584801643064</c:v>
                </c:pt>
                <c:pt idx="79">
                  <c:v>223.73797427305158</c:v>
                </c:pt>
                <c:pt idx="80">
                  <c:v>226.57010052967249</c:v>
                </c:pt>
                <c:pt idx="81">
                  <c:v>229.40222678629337</c:v>
                </c:pt>
                <c:pt idx="82">
                  <c:v>232.23435304291428</c:v>
                </c:pt>
                <c:pt idx="83">
                  <c:v>235.06647929953516</c:v>
                </c:pt>
                <c:pt idx="84">
                  <c:v>237.89860555615607</c:v>
                </c:pt>
                <c:pt idx="85">
                  <c:v>240.73073181277698</c:v>
                </c:pt>
                <c:pt idx="86">
                  <c:v>243.56285806939789</c:v>
                </c:pt>
                <c:pt idx="87">
                  <c:v>246.3949843260188</c:v>
                </c:pt>
                <c:pt idx="88">
                  <c:v>249.22711058263968</c:v>
                </c:pt>
                <c:pt idx="89">
                  <c:v>252.05923683926062</c:v>
                </c:pt>
                <c:pt idx="90">
                  <c:v>254.89136309588153</c:v>
                </c:pt>
                <c:pt idx="91">
                  <c:v>257.72348935250244</c:v>
                </c:pt>
                <c:pt idx="92">
                  <c:v>260.55561560912332</c:v>
                </c:pt>
                <c:pt idx="93">
                  <c:v>263.38774186574426</c:v>
                </c:pt>
                <c:pt idx="94">
                  <c:v>266.21986812236509</c:v>
                </c:pt>
                <c:pt idx="95">
                  <c:v>269.05199437898602</c:v>
                </c:pt>
                <c:pt idx="96">
                  <c:v>271.88412063560691</c:v>
                </c:pt>
                <c:pt idx="97">
                  <c:v>274.71624689222784</c:v>
                </c:pt>
                <c:pt idx="98">
                  <c:v>277.54837314884878</c:v>
                </c:pt>
                <c:pt idx="99">
                  <c:v>280.38049940546961</c:v>
                </c:pt>
                <c:pt idx="100">
                  <c:v>283.21262566209055</c:v>
                </c:pt>
              </c:numCache>
            </c:numRef>
          </c:val>
          <c:smooth val="0"/>
          <c:extLst>
            <c:ext xmlns:c16="http://schemas.microsoft.com/office/drawing/2014/chart" uri="{C3380CC4-5D6E-409C-BE32-E72D297353CC}">
              <c16:uniqueId val="{00000002-30B3-40C9-BD4B-8D9D0DFC5FDB}"/>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Single'!$CB$110:$CB$210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0B3-40C9-BD4B-8D9D0DFC5FDB}"/>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Single'!$CB$5:$CB$105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0B3-40C9-BD4B-8D9D0DFC5FDB}"/>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Single'!$CB$216:$CB$316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0B3-40C9-BD4B-8D9D0DFC5FDB}"/>
            </c:ext>
          </c:extLst>
        </c:ser>
        <c:dLbls>
          <c:showLegendKey val="0"/>
          <c:showVal val="0"/>
          <c:showCatName val="0"/>
          <c:showSerName val="0"/>
          <c:showPercent val="0"/>
          <c:showBubbleSize val="0"/>
        </c:dLbls>
        <c:smooth val="0"/>
        <c:axId val="141955840"/>
        <c:axId val="141957760"/>
      </c:lineChart>
      <c:catAx>
        <c:axId val="141955840"/>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cs-CZ"/>
          </a:p>
        </c:txPr>
        <c:crossAx val="141957760"/>
        <c:crosses val="autoZero"/>
        <c:auto val="1"/>
        <c:lblAlgn val="ctr"/>
        <c:lblOffset val="100"/>
        <c:tickLblSkip val="20"/>
        <c:tickMarkSkip val="10"/>
        <c:noMultiLvlLbl val="0"/>
      </c:catAx>
      <c:valAx>
        <c:axId val="141957760"/>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cs-CZ"/>
          </a:p>
        </c:txPr>
        <c:crossAx val="141955840"/>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14682981090100111"/>
          <c:y val="0.67041751876868938"/>
          <c:w val="0.13753070632578046"/>
          <c:h val="0.1749683688186130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cs-CZ"/>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cs-CZ"/>
    </a:p>
  </c:txPr>
  <c:printSettings>
    <c:headerFooter alignWithMargins="0"/>
    <c:pageMargins b="1" l="0.750000000000006" r="0.750000000000006" t="1" header="0.5" footer="0.5"/>
    <c:pageSetup paperSize="5"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c:v>
                </c:pt>
                <c:pt idx="2">
                  <c:v>19.150568020960407</c:v>
                </c:pt>
                <c:pt idx="3">
                  <c:v>28.725852031440606</c:v>
                </c:pt>
                <c:pt idx="4">
                  <c:v>38.301136041920813</c:v>
                </c:pt>
                <c:pt idx="5">
                  <c:v>47.876420052401031</c:v>
                </c:pt>
                <c:pt idx="6">
                  <c:v>57.451704062881213</c:v>
                </c:pt>
                <c:pt idx="7">
                  <c:v>67.026988073361437</c:v>
                </c:pt>
                <c:pt idx="8">
                  <c:v>76.602272083841626</c:v>
                </c:pt>
                <c:pt idx="9">
                  <c:v>86.17755609432183</c:v>
                </c:pt>
                <c:pt idx="10">
                  <c:v>95.752840104802061</c:v>
                </c:pt>
                <c:pt idx="11">
                  <c:v>105.32812411528224</c:v>
                </c:pt>
                <c:pt idx="12">
                  <c:v>114.90340812576243</c:v>
                </c:pt>
                <c:pt idx="13">
                  <c:v>124.47869213624266</c:v>
                </c:pt>
                <c:pt idx="14">
                  <c:v>134.05397614672287</c:v>
                </c:pt>
                <c:pt idx="15">
                  <c:v>143.62926015720305</c:v>
                </c:pt>
                <c:pt idx="16">
                  <c:v>153.20454416768325</c:v>
                </c:pt>
                <c:pt idx="17">
                  <c:v>162.77982817816346</c:v>
                </c:pt>
                <c:pt idx="18">
                  <c:v>172.35511218864366</c:v>
                </c:pt>
                <c:pt idx="19">
                  <c:v>181.93039619912389</c:v>
                </c:pt>
                <c:pt idx="20">
                  <c:v>191.50568020960412</c:v>
                </c:pt>
                <c:pt idx="21">
                  <c:v>201.08096422008427</c:v>
                </c:pt>
                <c:pt idx="22">
                  <c:v>210.65624823056447</c:v>
                </c:pt>
                <c:pt idx="23">
                  <c:v>220.23153224104468</c:v>
                </c:pt>
                <c:pt idx="24">
                  <c:v>229.80681625152485</c:v>
                </c:pt>
                <c:pt idx="25">
                  <c:v>239.38210026200508</c:v>
                </c:pt>
                <c:pt idx="26">
                  <c:v>248.95738427248531</c:v>
                </c:pt>
                <c:pt idx="27">
                  <c:v>258.53266828296552</c:v>
                </c:pt>
                <c:pt idx="28">
                  <c:v>268.10795229344575</c:v>
                </c:pt>
                <c:pt idx="29">
                  <c:v>277.68323630392587</c:v>
                </c:pt>
                <c:pt idx="30">
                  <c:v>287.2585203144061</c:v>
                </c:pt>
                <c:pt idx="31">
                  <c:v>296.83380432488633</c:v>
                </c:pt>
                <c:pt idx="32">
                  <c:v>306.4090883353665</c:v>
                </c:pt>
                <c:pt idx="33">
                  <c:v>315.98437234584674</c:v>
                </c:pt>
                <c:pt idx="34">
                  <c:v>325.55965635632691</c:v>
                </c:pt>
                <c:pt idx="35">
                  <c:v>335.13494036680709</c:v>
                </c:pt>
                <c:pt idx="36">
                  <c:v>344.71022437728732</c:v>
                </c:pt>
                <c:pt idx="37">
                  <c:v>333.87748105808538</c:v>
                </c:pt>
                <c:pt idx="38">
                  <c:v>325.09123155655669</c:v>
                </c:pt>
                <c:pt idx="39">
                  <c:v>316.75555895254246</c:v>
                </c:pt>
                <c:pt idx="40">
                  <c:v>308.83666997872893</c:v>
                </c:pt>
                <c:pt idx="41">
                  <c:v>301.30406827193076</c:v>
                </c:pt>
                <c:pt idx="42">
                  <c:v>294.13016188450371</c:v>
                </c:pt>
                <c:pt idx="43">
                  <c:v>287.28992556160824</c:v>
                </c:pt>
                <c:pt idx="44">
                  <c:v>280.76060907157182</c:v>
                </c:pt>
                <c:pt idx="45">
                  <c:v>274.52148442553681</c:v>
                </c:pt>
                <c:pt idx="46">
                  <c:v>268.55362606845989</c:v>
                </c:pt>
                <c:pt idx="47">
                  <c:v>262.83971913083315</c:v>
                </c:pt>
                <c:pt idx="48">
                  <c:v>257.36389164894081</c:v>
                </c:pt>
                <c:pt idx="49">
                  <c:v>252.11156732957463</c:v>
                </c:pt>
                <c:pt idx="50">
                  <c:v>247.06933598298315</c:v>
                </c:pt>
                <c:pt idx="51">
                  <c:v>242.22483919900304</c:v>
                </c:pt>
                <c:pt idx="52">
                  <c:v>237.5666692144068</c:v>
                </c:pt>
                <c:pt idx="53">
                  <c:v>233.08427922922937</c:v>
                </c:pt>
                <c:pt idx="54">
                  <c:v>228.76790368794732</c:v>
                </c:pt>
                <c:pt idx="55">
                  <c:v>224.60848725725737</c:v>
                </c:pt>
                <c:pt idx="56">
                  <c:v>220.59762141337779</c:v>
                </c:pt>
                <c:pt idx="57">
                  <c:v>216.72748770437119</c:v>
                </c:pt>
                <c:pt idx="58">
                  <c:v>212.99080688188207</c:v>
                </c:pt>
                <c:pt idx="59">
                  <c:v>209.38079320591794</c:v>
                </c:pt>
                <c:pt idx="60">
                  <c:v>205.89111331915265</c:v>
                </c:pt>
                <c:pt idx="61">
                  <c:v>202.51584916637964</c:v>
                </c:pt>
                <c:pt idx="62">
                  <c:v>199.2494645024058</c:v>
                </c:pt>
                <c:pt idx="63">
                  <c:v>196.08677458966918</c:v>
                </c:pt>
                <c:pt idx="64">
                  <c:v>193.02291873670561</c:v>
                </c:pt>
                <c:pt idx="65">
                  <c:v>190.05333537152549</c:v>
                </c:pt>
                <c:pt idx="66">
                  <c:v>187.17373938104785</c:v>
                </c:pt>
                <c:pt idx="67">
                  <c:v>184.38010147983815</c:v>
                </c:pt>
                <c:pt idx="68">
                  <c:v>181.66862939925232</c:v>
                </c:pt>
                <c:pt idx="69">
                  <c:v>179.03575071230668</c:v>
                </c:pt>
                <c:pt idx="70">
                  <c:v>176.47809713070228</c:v>
                </c:pt>
                <c:pt idx="71">
                  <c:v>173.99249012886139</c:v>
                </c:pt>
                <c:pt idx="72">
                  <c:v>171.57592776596056</c:v>
                </c:pt>
                <c:pt idx="73">
                  <c:v>169.22557259108433</c:v>
                </c:pt>
                <c:pt idx="74">
                  <c:v>166.93874052904269</c:v>
                </c:pt>
                <c:pt idx="75">
                  <c:v>164.71289065532207</c:v>
                </c:pt>
                <c:pt idx="76">
                  <c:v>162.54561577827835</c:v>
                </c:pt>
                <c:pt idx="77">
                  <c:v>160.43463375518382</c:v>
                </c:pt>
                <c:pt idx="78">
                  <c:v>158.37777947627123</c:v>
                </c:pt>
                <c:pt idx="79">
                  <c:v>156.37299745758423</c:v>
                </c:pt>
                <c:pt idx="80">
                  <c:v>154.41833498936447</c:v>
                </c:pt>
                <c:pt idx="81">
                  <c:v>152.5119357919649</c:v>
                </c:pt>
                <c:pt idx="82">
                  <c:v>150.65203413596538</c:v>
                </c:pt>
                <c:pt idx="83">
                  <c:v>148.83694938733925</c:v>
                </c:pt>
                <c:pt idx="84">
                  <c:v>147.06508094225185</c:v>
                </c:pt>
                <c:pt idx="85">
                  <c:v>145.33490351940182</c:v>
                </c:pt>
                <c:pt idx="86">
                  <c:v>143.64496278080412</c:v>
                </c:pt>
                <c:pt idx="87">
                  <c:v>141.99387125458799</c:v>
                </c:pt>
                <c:pt idx="88">
                  <c:v>140.38030453578591</c:v>
                </c:pt>
                <c:pt idx="89">
                  <c:v>138.80299774324894</c:v>
                </c:pt>
                <c:pt idx="90">
                  <c:v>137.26074221276841</c:v>
                </c:pt>
                <c:pt idx="91">
                  <c:v>135.75238240823248</c:v>
                </c:pt>
                <c:pt idx="92">
                  <c:v>134.27681303422995</c:v>
                </c:pt>
                <c:pt idx="93">
                  <c:v>132.83297633493711</c:v>
                </c:pt>
                <c:pt idx="94">
                  <c:v>131.41985956541657</c:v>
                </c:pt>
                <c:pt idx="95">
                  <c:v>130.03649262262269</c:v>
                </c:pt>
                <c:pt idx="96">
                  <c:v>128.6819458244704</c:v>
                </c:pt>
                <c:pt idx="97">
                  <c:v>127.35532782627995</c:v>
                </c:pt>
                <c:pt idx="98">
                  <c:v>126.05578366478731</c:v>
                </c:pt>
                <c:pt idx="99">
                  <c:v>124.78249292069852</c:v>
                </c:pt>
                <c:pt idx="100">
                  <c:v>123.53466799149157</c:v>
                </c:pt>
              </c:numCache>
            </c:numRef>
          </c:val>
          <c:smooth val="0"/>
          <c:extLst>
            <c:ext xmlns:c16="http://schemas.microsoft.com/office/drawing/2014/chart" uri="{C3380CC4-5D6E-409C-BE32-E72D297353CC}">
              <c16:uniqueId val="{00000000-9918-4527-AE5B-EEC5F492B8B8}"/>
            </c:ext>
          </c:extLst>
        </c:ser>
        <c:ser>
          <c:idx val="10"/>
          <c:order val="10"/>
          <c:tx>
            <c:v>VIN-nom</c:v>
          </c:tx>
          <c:spPr>
            <a:ln w="28575">
              <a:solidFill>
                <a:srgbClr val="0000FF"/>
              </a:solidFill>
              <a:prstDash val="lgDash"/>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c:v>
                </c:pt>
                <c:pt idx="2">
                  <c:v>19.150568020960407</c:v>
                </c:pt>
                <c:pt idx="3">
                  <c:v>28.725852031440606</c:v>
                </c:pt>
                <c:pt idx="4">
                  <c:v>38.301136041920813</c:v>
                </c:pt>
                <c:pt idx="5">
                  <c:v>47.876420052401031</c:v>
                </c:pt>
                <c:pt idx="6">
                  <c:v>57.451704062881213</c:v>
                </c:pt>
                <c:pt idx="7">
                  <c:v>67.026988073361437</c:v>
                </c:pt>
                <c:pt idx="8">
                  <c:v>76.602272083841626</c:v>
                </c:pt>
                <c:pt idx="9">
                  <c:v>86.17755609432183</c:v>
                </c:pt>
                <c:pt idx="10">
                  <c:v>95.752840104802061</c:v>
                </c:pt>
                <c:pt idx="11">
                  <c:v>105.32812411528224</c:v>
                </c:pt>
                <c:pt idx="12">
                  <c:v>114.90340812576243</c:v>
                </c:pt>
                <c:pt idx="13">
                  <c:v>124.47869213624266</c:v>
                </c:pt>
                <c:pt idx="14">
                  <c:v>134.05397614672287</c:v>
                </c:pt>
                <c:pt idx="15">
                  <c:v>143.62926015720305</c:v>
                </c:pt>
                <c:pt idx="16">
                  <c:v>153.20454416768325</c:v>
                </c:pt>
                <c:pt idx="17">
                  <c:v>162.77982817816346</c:v>
                </c:pt>
                <c:pt idx="18">
                  <c:v>172.35511218864366</c:v>
                </c:pt>
                <c:pt idx="19">
                  <c:v>181.93039619912389</c:v>
                </c:pt>
                <c:pt idx="20">
                  <c:v>191.50568020960412</c:v>
                </c:pt>
                <c:pt idx="21">
                  <c:v>201.08096422008427</c:v>
                </c:pt>
                <c:pt idx="22">
                  <c:v>210.65624823056447</c:v>
                </c:pt>
                <c:pt idx="23">
                  <c:v>220.23153224104468</c:v>
                </c:pt>
                <c:pt idx="24">
                  <c:v>229.80681625152485</c:v>
                </c:pt>
                <c:pt idx="25">
                  <c:v>239.38210026200508</c:v>
                </c:pt>
                <c:pt idx="26">
                  <c:v>248.95738427248531</c:v>
                </c:pt>
                <c:pt idx="27">
                  <c:v>258.53266828296552</c:v>
                </c:pt>
                <c:pt idx="28">
                  <c:v>268.10795229344575</c:v>
                </c:pt>
                <c:pt idx="29">
                  <c:v>277.68323630392587</c:v>
                </c:pt>
                <c:pt idx="30">
                  <c:v>287.2585203144061</c:v>
                </c:pt>
                <c:pt idx="31">
                  <c:v>296.83380432488633</c:v>
                </c:pt>
                <c:pt idx="32">
                  <c:v>306.4090883353665</c:v>
                </c:pt>
                <c:pt idx="33">
                  <c:v>315.98437234584674</c:v>
                </c:pt>
                <c:pt idx="34">
                  <c:v>325.55965635632691</c:v>
                </c:pt>
                <c:pt idx="35">
                  <c:v>335.13494036680709</c:v>
                </c:pt>
                <c:pt idx="36">
                  <c:v>344.71022437728732</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349.18886392749778</c:v>
                </c:pt>
                <c:pt idx="80">
                  <c:v>344.824003128404</c:v>
                </c:pt>
                <c:pt idx="81">
                  <c:v>340.56691667002877</c:v>
                </c:pt>
                <c:pt idx="82">
                  <c:v>336.41366158868698</c:v>
                </c:pt>
                <c:pt idx="83">
                  <c:v>332.36048494304003</c:v>
                </c:pt>
                <c:pt idx="84">
                  <c:v>328.40381250324197</c:v>
                </c:pt>
                <c:pt idx="85">
                  <c:v>324.54023823849792</c:v>
                </c:pt>
                <c:pt idx="86">
                  <c:v>320.76651453805027</c:v>
                </c:pt>
                <c:pt idx="87">
                  <c:v>317.07954310657857</c:v>
                </c:pt>
                <c:pt idx="88">
                  <c:v>313.4763664803674</c:v>
                </c:pt>
                <c:pt idx="89">
                  <c:v>309.95416011541937</c:v>
                </c:pt>
                <c:pt idx="90">
                  <c:v>306.51022500302582</c:v>
                </c:pt>
                <c:pt idx="91">
                  <c:v>303.14198077222329</c:v>
                </c:pt>
                <c:pt idx="92">
                  <c:v>299.84695924209046</c:v>
                </c:pt>
                <c:pt idx="93">
                  <c:v>296.62279839002503</c:v>
                </c:pt>
                <c:pt idx="94">
                  <c:v>293.46723670502479</c:v>
                </c:pt>
                <c:pt idx="95">
                  <c:v>290.37810789760346</c:v>
                </c:pt>
                <c:pt idx="96">
                  <c:v>287.35333594033676</c:v>
                </c:pt>
                <c:pt idx="97">
                  <c:v>284.39093041517867</c:v>
                </c:pt>
                <c:pt idx="98">
                  <c:v>281.48898214563599</c:v>
                </c:pt>
                <c:pt idx="99">
                  <c:v>278.64565909365984</c:v>
                </c:pt>
                <c:pt idx="100">
                  <c:v>275.85920250272329</c:v>
                </c:pt>
              </c:numCache>
            </c:numRef>
          </c:val>
          <c:smooth val="0"/>
          <c:extLst>
            <c:ext xmlns:c16="http://schemas.microsoft.com/office/drawing/2014/chart" uri="{C3380CC4-5D6E-409C-BE32-E72D297353CC}">
              <c16:uniqueId val="{00000001-9918-4527-AE5B-EEC5F492B8B8}"/>
            </c:ext>
          </c:extLst>
        </c:ser>
        <c:ser>
          <c:idx val="11"/>
          <c:order val="11"/>
          <c:tx>
            <c:v>VIN-max</c:v>
          </c:tx>
          <c:spPr>
            <a:ln>
              <a:solidFill>
                <a:srgbClr val="FF0000"/>
              </a:solidFill>
              <a:prstDash val="solid"/>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c:v>
                </c:pt>
                <c:pt idx="2">
                  <c:v>19.150568020960407</c:v>
                </c:pt>
                <c:pt idx="3">
                  <c:v>28.725852031440606</c:v>
                </c:pt>
                <c:pt idx="4">
                  <c:v>38.301136041920813</c:v>
                </c:pt>
                <c:pt idx="5">
                  <c:v>47.876420052401031</c:v>
                </c:pt>
                <c:pt idx="6">
                  <c:v>57.451704062881213</c:v>
                </c:pt>
                <c:pt idx="7">
                  <c:v>67.026988073361437</c:v>
                </c:pt>
                <c:pt idx="8">
                  <c:v>76.602272083841626</c:v>
                </c:pt>
                <c:pt idx="9">
                  <c:v>86.17755609432183</c:v>
                </c:pt>
                <c:pt idx="10">
                  <c:v>95.752840104802061</c:v>
                </c:pt>
                <c:pt idx="11">
                  <c:v>105.32812411528224</c:v>
                </c:pt>
                <c:pt idx="12">
                  <c:v>114.90340812576243</c:v>
                </c:pt>
                <c:pt idx="13">
                  <c:v>124.47869213624266</c:v>
                </c:pt>
                <c:pt idx="14">
                  <c:v>134.05397614672287</c:v>
                </c:pt>
                <c:pt idx="15">
                  <c:v>143.62926015720305</c:v>
                </c:pt>
                <c:pt idx="16">
                  <c:v>153.20454416768325</c:v>
                </c:pt>
                <c:pt idx="17">
                  <c:v>162.77982817816346</c:v>
                </c:pt>
                <c:pt idx="18">
                  <c:v>172.35511218864366</c:v>
                </c:pt>
                <c:pt idx="19">
                  <c:v>181.93039619912389</c:v>
                </c:pt>
                <c:pt idx="20">
                  <c:v>191.50568020960412</c:v>
                </c:pt>
                <c:pt idx="21">
                  <c:v>201.08096422008427</c:v>
                </c:pt>
                <c:pt idx="22">
                  <c:v>210.65624823056447</c:v>
                </c:pt>
                <c:pt idx="23">
                  <c:v>220.23153224104468</c:v>
                </c:pt>
                <c:pt idx="24">
                  <c:v>229.80681625152485</c:v>
                </c:pt>
                <c:pt idx="25">
                  <c:v>239.38210026200508</c:v>
                </c:pt>
                <c:pt idx="26">
                  <c:v>248.95738427248531</c:v>
                </c:pt>
                <c:pt idx="27">
                  <c:v>258.53266828296552</c:v>
                </c:pt>
                <c:pt idx="28">
                  <c:v>268.10795229344575</c:v>
                </c:pt>
                <c:pt idx="29">
                  <c:v>277.68323630392587</c:v>
                </c:pt>
                <c:pt idx="30">
                  <c:v>287.2585203144061</c:v>
                </c:pt>
                <c:pt idx="31">
                  <c:v>296.83380432488633</c:v>
                </c:pt>
                <c:pt idx="32">
                  <c:v>306.4090883353665</c:v>
                </c:pt>
                <c:pt idx="33">
                  <c:v>315.98437234584674</c:v>
                </c:pt>
                <c:pt idx="34">
                  <c:v>325.55965635632691</c:v>
                </c:pt>
                <c:pt idx="35">
                  <c:v>335.13494036680709</c:v>
                </c:pt>
                <c:pt idx="36">
                  <c:v>344.71022437728732</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2-9918-4527-AE5B-EEC5F492B8B8}"/>
            </c:ext>
          </c:extLst>
        </c:ser>
        <c:ser>
          <c:idx val="12"/>
          <c:order val="12"/>
          <c:spPr>
            <a:ln>
              <a:noFill/>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Dual'!$CB$110:$CB$210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9918-4527-AE5B-EEC5F492B8B8}"/>
            </c:ext>
          </c:extLst>
        </c:ser>
        <c:ser>
          <c:idx val="13"/>
          <c:order val="13"/>
          <c:spPr>
            <a:ln>
              <a:noFill/>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9918-4527-AE5B-EEC5F492B8B8}"/>
            </c:ext>
          </c:extLst>
        </c:ser>
        <c:ser>
          <c:idx val="14"/>
          <c:order val="14"/>
          <c:spPr>
            <a:ln>
              <a:noFill/>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Dual'!$CB$216:$CB$316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9918-4527-AE5B-EEC5F492B8B8}"/>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6.6458333333333335E-3</c:v>
                </c:pt>
                <c:pt idx="1">
                  <c:v>6.6458333333333335E-3</c:v>
                </c:pt>
                <c:pt idx="2">
                  <c:v>1.2727148330596603E-2</c:v>
                </c:pt>
                <c:pt idx="3">
                  <c:v>1.9090722495894899E-2</c:v>
                </c:pt>
                <c:pt idx="4">
                  <c:v>2.5454296661193206E-2</c:v>
                </c:pt>
                <c:pt idx="5">
                  <c:v>3.1817870826491512E-2</c:v>
                </c:pt>
                <c:pt idx="6">
                  <c:v>3.8181444991789798E-2</c:v>
                </c:pt>
                <c:pt idx="7">
                  <c:v>4.4545019157088118E-2</c:v>
                </c:pt>
                <c:pt idx="8">
                  <c:v>5.0908593322386411E-2</c:v>
                </c:pt>
                <c:pt idx="9">
                  <c:v>5.7272167487684711E-2</c:v>
                </c:pt>
                <c:pt idx="10">
                  <c:v>6.3635741652983024E-2</c:v>
                </c:pt>
                <c:pt idx="11">
                  <c:v>6.999931581828131E-2</c:v>
                </c:pt>
                <c:pt idx="12">
                  <c:v>7.6362889983579596E-2</c:v>
                </c:pt>
                <c:pt idx="13">
                  <c:v>8.2726464148877923E-2</c:v>
                </c:pt>
                <c:pt idx="14">
                  <c:v>8.9090038314176237E-2</c:v>
                </c:pt>
                <c:pt idx="15">
                  <c:v>9.5453612479474523E-2</c:v>
                </c:pt>
                <c:pt idx="16">
                  <c:v>0.10181718664477282</c:v>
                </c:pt>
                <c:pt idx="17">
                  <c:v>0.10818076081007112</c:v>
                </c:pt>
                <c:pt idx="18">
                  <c:v>0.11454433497536942</c:v>
                </c:pt>
                <c:pt idx="19">
                  <c:v>0.12090790914066774</c:v>
                </c:pt>
                <c:pt idx="20">
                  <c:v>0.12727148330596605</c:v>
                </c:pt>
                <c:pt idx="21">
                  <c:v>0.13363505747126436</c:v>
                </c:pt>
                <c:pt idx="22">
                  <c:v>0.13999863163656262</c:v>
                </c:pt>
                <c:pt idx="23">
                  <c:v>0.14636220580186093</c:v>
                </c:pt>
                <c:pt idx="24">
                  <c:v>0.15272577996715919</c:v>
                </c:pt>
                <c:pt idx="25">
                  <c:v>0.15908935413245753</c:v>
                </c:pt>
                <c:pt idx="26">
                  <c:v>0.16545292829775585</c:v>
                </c:pt>
                <c:pt idx="27">
                  <c:v>0.17181650246305416</c:v>
                </c:pt>
                <c:pt idx="28">
                  <c:v>0.17818007662835247</c:v>
                </c:pt>
                <c:pt idx="29">
                  <c:v>0.18454365079365073</c:v>
                </c:pt>
                <c:pt idx="30">
                  <c:v>0.19090722495894905</c:v>
                </c:pt>
                <c:pt idx="31">
                  <c:v>0.19727079912424736</c:v>
                </c:pt>
                <c:pt idx="32">
                  <c:v>0.20363437328954564</c:v>
                </c:pt>
                <c:pt idx="33">
                  <c:v>0.20999794745484396</c:v>
                </c:pt>
                <c:pt idx="34">
                  <c:v>0.21636152162014224</c:v>
                </c:pt>
                <c:pt idx="35">
                  <c:v>0.22272509578544053</c:v>
                </c:pt>
                <c:pt idx="36">
                  <c:v>0.22908866995073884</c:v>
                </c:pt>
                <c:pt idx="37">
                  <c:v>0.23260416666666664</c:v>
                </c:pt>
                <c:pt idx="38">
                  <c:v>0.23260416666666664</c:v>
                </c:pt>
                <c:pt idx="39">
                  <c:v>0.23563577561567348</c:v>
                </c:pt>
                <c:pt idx="40">
                  <c:v>0.23863762625928597</c:v>
                </c:pt>
                <c:pt idx="41">
                  <c:v>0.24160218248876256</c:v>
                </c:pt>
                <c:pt idx="42">
                  <c:v>0.24453080071843711</c:v>
                </c:pt>
                <c:pt idx="43">
                  <c:v>0.24742475708115119</c:v>
                </c:pt>
                <c:pt idx="44">
                  <c:v>0.25028525392706091</c:v>
                </c:pt>
                <c:pt idx="45">
                  <c:v>0.25311342566130313</c:v>
                </c:pt>
                <c:pt idx="46">
                  <c:v>0.25591034400091506</c:v>
                </c:pt>
                <c:pt idx="47">
                  <c:v>0.25867702272009652</c:v>
                </c:pt>
                <c:pt idx="48">
                  <c:v>0.2614144219433962</c:v>
                </c:pt>
                <c:pt idx="49">
                  <c:v>0.26412345203837295</c:v>
                </c:pt>
                <c:pt idx="50">
                  <c:v>0.26680497715247614</c:v>
                </c:pt>
                <c:pt idx="51">
                  <c:v>0.26945981843310152</c:v>
                </c:pt>
                <c:pt idx="52">
                  <c:v>0.27208875696483065</c:v>
                </c:pt>
                <c:pt idx="53">
                  <c:v>0.27469253645363817</c:v>
                </c:pt>
                <c:pt idx="54">
                  <c:v>0.27727186568420542</c:v>
                </c:pt>
                <c:pt idx="55">
                  <c:v>0.27982742077335215</c:v>
                </c:pt>
                <c:pt idx="56">
                  <c:v>0.28235984723988877</c:v>
                </c:pt>
                <c:pt idx="57">
                  <c:v>0.28486976190884145</c:v>
                </c:pt>
                <c:pt idx="58">
                  <c:v>0.28735775466596797</c:v>
                </c:pt>
                <c:pt idx="59">
                  <c:v>0.28982439007670374</c:v>
                </c:pt>
                <c:pt idx="60">
                  <c:v>0.29227020888212329</c:v>
                </c:pt>
                <c:pt idx="61">
                  <c:v>0.29469572938314981</c:v>
                </c:pt>
                <c:pt idx="62">
                  <c:v>0.297101448723047</c:v>
                </c:pt>
                <c:pt idx="63">
                  <c:v>0.2994878440771846</c:v>
                </c:pt>
                <c:pt idx="64">
                  <c:v>0.30185537375814048</c:v>
                </c:pt>
                <c:pt idx="65">
                  <c:v>0.30420447824339031</c:v>
                </c:pt>
                <c:pt idx="66">
                  <c:v>0.30653558113210938</c:v>
                </c:pt>
                <c:pt idx="67">
                  <c:v>0.30884909003697369</c:v>
                </c:pt>
                <c:pt idx="68">
                  <c:v>0.31114539741627767</c:v>
                </c:pt>
                <c:pt idx="69">
                  <c:v>0.31342488135117796</c:v>
                </c:pt>
                <c:pt idx="70">
                  <c:v>0.31568790627242382</c:v>
                </c:pt>
                <c:pt idx="71">
                  <c:v>0.3179348236405275</c:v>
                </c:pt>
                <c:pt idx="72">
                  <c:v>0.32016597258297141</c:v>
                </c:pt>
                <c:pt idx="73">
                  <c:v>0.32238168049172189</c:v>
                </c:pt>
                <c:pt idx="74">
                  <c:v>0.32458226358403092</c:v>
                </c:pt>
                <c:pt idx="75">
                  <c:v>0.32676802742924527</c:v>
                </c:pt>
                <c:pt idx="76">
                  <c:v>0.32893926744410845</c:v>
                </c:pt>
                <c:pt idx="77">
                  <c:v>0.33109626935882763</c:v>
                </c:pt>
                <c:pt idx="78">
                  <c:v>0.33323930965598875</c:v>
                </c:pt>
                <c:pt idx="79">
                  <c:v>0.33459142851435431</c:v>
                </c:pt>
                <c:pt idx="80">
                  <c:v>0.33249365593171143</c:v>
                </c:pt>
                <c:pt idx="81">
                  <c:v>0.33043485188921479</c:v>
                </c:pt>
                <c:pt idx="82">
                  <c:v>0.32841382466197688</c:v>
                </c:pt>
                <c:pt idx="83">
                  <c:v>0.32642943293180315</c:v>
                </c:pt>
                <c:pt idx="84">
                  <c:v>0.32448058307868166</c:v>
                </c:pt>
                <c:pt idx="85">
                  <c:v>0.35309973045822102</c:v>
                </c:pt>
                <c:pt idx="86">
                  <c:v>0.35309973045822102</c:v>
                </c:pt>
                <c:pt idx="87">
                  <c:v>0.35309973045822113</c:v>
                </c:pt>
                <c:pt idx="88">
                  <c:v>0.35309973045822107</c:v>
                </c:pt>
                <c:pt idx="89">
                  <c:v>0.35309973045822096</c:v>
                </c:pt>
                <c:pt idx="90">
                  <c:v>0.35309973045822102</c:v>
                </c:pt>
                <c:pt idx="91">
                  <c:v>0.35309973045822102</c:v>
                </c:pt>
                <c:pt idx="92">
                  <c:v>0.35309973045822091</c:v>
                </c:pt>
                <c:pt idx="93">
                  <c:v>0.35309973045822102</c:v>
                </c:pt>
                <c:pt idx="94">
                  <c:v>0.35309973045822102</c:v>
                </c:pt>
                <c:pt idx="95">
                  <c:v>0.35309973045822107</c:v>
                </c:pt>
                <c:pt idx="96">
                  <c:v>0.35309973045822102</c:v>
                </c:pt>
                <c:pt idx="97">
                  <c:v>0.35309973045822113</c:v>
                </c:pt>
                <c:pt idx="98">
                  <c:v>0.35309973045822102</c:v>
                </c:pt>
                <c:pt idx="99">
                  <c:v>0.35309973045822091</c:v>
                </c:pt>
                <c:pt idx="100">
                  <c:v>0.35309973045822102</c:v>
                </c:pt>
              </c:numCache>
            </c:numRef>
          </c:val>
          <c:smooth val="0"/>
          <c:extLst>
            <c:ext xmlns:c16="http://schemas.microsoft.com/office/drawing/2014/chart" uri="{C3380CC4-5D6E-409C-BE32-E72D297353CC}">
              <c16:uniqueId val="{00000006-9918-4527-AE5B-EEC5F492B8B8}"/>
            </c:ext>
          </c:extLst>
        </c:ser>
        <c:ser>
          <c:idx val="16"/>
          <c:order val="16"/>
          <c:spPr>
            <a:ln w="25400">
              <a:solidFill>
                <a:srgbClr val="00B050"/>
              </a:solidFill>
              <a:prstDash val="dash"/>
            </a:ln>
          </c:spPr>
          <c:marker>
            <c:symbol val="none"/>
          </c:marker>
          <c:val>
            <c:numRef>
              <c:f>'Calculations - Dual'!$AU$110:$AU$210</c:f>
              <c:numCache>
                <c:formatCode>0.000</c:formatCode>
                <c:ptCount val="101"/>
                <c:pt idx="0">
                  <c:v>1.5949999999999999E-2</c:v>
                </c:pt>
                <c:pt idx="1">
                  <c:v>1.5949999999999999E-2</c:v>
                </c:pt>
                <c:pt idx="2">
                  <c:v>3.0545155993431841E-2</c:v>
                </c:pt>
                <c:pt idx="3">
                  <c:v>4.5817733990147755E-2</c:v>
                </c:pt>
                <c:pt idx="4">
                  <c:v>6.1090311986863682E-2</c:v>
                </c:pt>
                <c:pt idx="5">
                  <c:v>7.6362889983579624E-2</c:v>
                </c:pt>
                <c:pt idx="6">
                  <c:v>9.163546798029551E-2</c:v>
                </c:pt>
                <c:pt idx="7">
                  <c:v>0.10690804597701146</c:v>
                </c:pt>
                <c:pt idx="8">
                  <c:v>0.12218062397372736</c:v>
                </c:pt>
                <c:pt idx="9">
                  <c:v>0.13745320197044331</c:v>
                </c:pt>
                <c:pt idx="10">
                  <c:v>0.15272577996715925</c:v>
                </c:pt>
                <c:pt idx="11">
                  <c:v>0.16799835796387513</c:v>
                </c:pt>
                <c:pt idx="12">
                  <c:v>0.18327093596059102</c:v>
                </c:pt>
                <c:pt idx="13">
                  <c:v>0.19854351395730699</c:v>
                </c:pt>
                <c:pt idx="14">
                  <c:v>0.21381609195402293</c:v>
                </c:pt>
                <c:pt idx="15">
                  <c:v>0.22908866995073884</c:v>
                </c:pt>
                <c:pt idx="16">
                  <c:v>0.24436124794745473</c:v>
                </c:pt>
                <c:pt idx="17">
                  <c:v>0.25963382594417067</c:v>
                </c:pt>
                <c:pt idx="18">
                  <c:v>0.27490640394088661</c:v>
                </c:pt>
                <c:pt idx="19">
                  <c:v>0.29017898193760255</c:v>
                </c:pt>
                <c:pt idx="20">
                  <c:v>0.3054515599343185</c:v>
                </c:pt>
                <c:pt idx="21">
                  <c:v>0.32072413793103438</c:v>
                </c:pt>
                <c:pt idx="22">
                  <c:v>0.33599671592775027</c:v>
                </c:pt>
                <c:pt idx="23">
                  <c:v>0.35126929392446621</c:v>
                </c:pt>
                <c:pt idx="24">
                  <c:v>0.36654187192118204</c:v>
                </c:pt>
                <c:pt idx="25">
                  <c:v>0.38181444991789804</c:v>
                </c:pt>
                <c:pt idx="26">
                  <c:v>0.39708702791461398</c:v>
                </c:pt>
                <c:pt idx="27">
                  <c:v>0.41235960591132992</c:v>
                </c:pt>
                <c:pt idx="28">
                  <c:v>0.42763218390804586</c:v>
                </c:pt>
                <c:pt idx="29">
                  <c:v>0.44290476190476169</c:v>
                </c:pt>
                <c:pt idx="30">
                  <c:v>0.45817733990147769</c:v>
                </c:pt>
                <c:pt idx="31">
                  <c:v>0.47344991789819363</c:v>
                </c:pt>
                <c:pt idx="32">
                  <c:v>0.48872249589490946</c:v>
                </c:pt>
                <c:pt idx="33">
                  <c:v>0.50399507389162546</c:v>
                </c:pt>
                <c:pt idx="34">
                  <c:v>0.51926765188834134</c:v>
                </c:pt>
                <c:pt idx="35">
                  <c:v>0.53454022988505723</c:v>
                </c:pt>
                <c:pt idx="36">
                  <c:v>0.54981280788177322</c:v>
                </c:pt>
                <c:pt idx="37">
                  <c:v>0.53253458228764616</c:v>
                </c:pt>
                <c:pt idx="38">
                  <c:v>0.5670995670995671</c:v>
                </c:pt>
                <c:pt idx="39">
                  <c:v>0.56709956709956699</c:v>
                </c:pt>
                <c:pt idx="40">
                  <c:v>0.56709956709956721</c:v>
                </c:pt>
                <c:pt idx="41">
                  <c:v>0.56709956709956721</c:v>
                </c:pt>
                <c:pt idx="42">
                  <c:v>0.5670995670995671</c:v>
                </c:pt>
                <c:pt idx="43">
                  <c:v>0.56709956709956699</c:v>
                </c:pt>
                <c:pt idx="44">
                  <c:v>0.5670995670995671</c:v>
                </c:pt>
                <c:pt idx="45">
                  <c:v>0.5670995670995671</c:v>
                </c:pt>
                <c:pt idx="46">
                  <c:v>0.5670995670995671</c:v>
                </c:pt>
                <c:pt idx="47">
                  <c:v>0.5670995670995671</c:v>
                </c:pt>
                <c:pt idx="48">
                  <c:v>0.56709956709956721</c:v>
                </c:pt>
                <c:pt idx="49">
                  <c:v>0.5670995670995671</c:v>
                </c:pt>
                <c:pt idx="50">
                  <c:v>0.5670995670995671</c:v>
                </c:pt>
                <c:pt idx="51">
                  <c:v>0.5670995670995671</c:v>
                </c:pt>
                <c:pt idx="52">
                  <c:v>0.5670995670995671</c:v>
                </c:pt>
                <c:pt idx="53">
                  <c:v>0.5670995670995671</c:v>
                </c:pt>
                <c:pt idx="54">
                  <c:v>0.5670995670995671</c:v>
                </c:pt>
                <c:pt idx="55">
                  <c:v>0.56709956709956699</c:v>
                </c:pt>
                <c:pt idx="56">
                  <c:v>0.5670995670995671</c:v>
                </c:pt>
                <c:pt idx="57">
                  <c:v>0.56709956709956699</c:v>
                </c:pt>
                <c:pt idx="58">
                  <c:v>0.5670995670995671</c:v>
                </c:pt>
                <c:pt idx="59">
                  <c:v>0.5670995670995671</c:v>
                </c:pt>
                <c:pt idx="60">
                  <c:v>0.5670995670995671</c:v>
                </c:pt>
                <c:pt idx="61">
                  <c:v>0.56709956709956721</c:v>
                </c:pt>
                <c:pt idx="62">
                  <c:v>0.5670995670995671</c:v>
                </c:pt>
                <c:pt idx="63">
                  <c:v>0.5670995670995671</c:v>
                </c:pt>
                <c:pt idx="64">
                  <c:v>0.56709956709956721</c:v>
                </c:pt>
                <c:pt idx="65">
                  <c:v>0.5670995670995671</c:v>
                </c:pt>
                <c:pt idx="66">
                  <c:v>0.5670995670995671</c:v>
                </c:pt>
                <c:pt idx="67">
                  <c:v>0.56709956709956721</c:v>
                </c:pt>
                <c:pt idx="68">
                  <c:v>0.5670995670995671</c:v>
                </c:pt>
                <c:pt idx="69">
                  <c:v>0.5670995670995671</c:v>
                </c:pt>
                <c:pt idx="70">
                  <c:v>0.5670995670995671</c:v>
                </c:pt>
                <c:pt idx="71">
                  <c:v>0.56709956709956699</c:v>
                </c:pt>
                <c:pt idx="72">
                  <c:v>0.5670995670995671</c:v>
                </c:pt>
                <c:pt idx="73">
                  <c:v>0.56709956709956699</c:v>
                </c:pt>
                <c:pt idx="74">
                  <c:v>0.5670995670995671</c:v>
                </c:pt>
                <c:pt idx="75">
                  <c:v>0.56709956709956699</c:v>
                </c:pt>
                <c:pt idx="76">
                  <c:v>0.5670995670995671</c:v>
                </c:pt>
                <c:pt idx="77">
                  <c:v>0.5670995670995671</c:v>
                </c:pt>
                <c:pt idx="78">
                  <c:v>0.56709956709956699</c:v>
                </c:pt>
                <c:pt idx="79">
                  <c:v>0.5670995670995671</c:v>
                </c:pt>
                <c:pt idx="80">
                  <c:v>0.56709956709956721</c:v>
                </c:pt>
                <c:pt idx="81">
                  <c:v>0.5670995670995671</c:v>
                </c:pt>
                <c:pt idx="82">
                  <c:v>0.56709956709956721</c:v>
                </c:pt>
                <c:pt idx="83">
                  <c:v>0.56709956709956699</c:v>
                </c:pt>
                <c:pt idx="84">
                  <c:v>0.5670995670995671</c:v>
                </c:pt>
                <c:pt idx="85">
                  <c:v>0.5670995670995671</c:v>
                </c:pt>
                <c:pt idx="86">
                  <c:v>0.56709956709956699</c:v>
                </c:pt>
                <c:pt idx="87">
                  <c:v>0.56709956709956721</c:v>
                </c:pt>
                <c:pt idx="88">
                  <c:v>0.5670995670995671</c:v>
                </c:pt>
                <c:pt idx="89">
                  <c:v>0.56709956709956699</c:v>
                </c:pt>
                <c:pt idx="90">
                  <c:v>0.5670995670995671</c:v>
                </c:pt>
                <c:pt idx="91">
                  <c:v>0.56709956709956699</c:v>
                </c:pt>
                <c:pt idx="92">
                  <c:v>0.5670995670995671</c:v>
                </c:pt>
                <c:pt idx="93">
                  <c:v>0.56709956709956699</c:v>
                </c:pt>
                <c:pt idx="94">
                  <c:v>0.5670995670995671</c:v>
                </c:pt>
                <c:pt idx="95">
                  <c:v>0.56709956709956721</c:v>
                </c:pt>
                <c:pt idx="96">
                  <c:v>0.56709956709956721</c:v>
                </c:pt>
                <c:pt idx="97">
                  <c:v>0.5670995670995671</c:v>
                </c:pt>
                <c:pt idx="98">
                  <c:v>0.5670995670995671</c:v>
                </c:pt>
                <c:pt idx="99">
                  <c:v>0.56709956709956699</c:v>
                </c:pt>
                <c:pt idx="100">
                  <c:v>0.5670995670995671</c:v>
                </c:pt>
              </c:numCache>
            </c:numRef>
          </c:val>
          <c:smooth val="0"/>
          <c:extLst>
            <c:ext xmlns:c16="http://schemas.microsoft.com/office/drawing/2014/chart" uri="{C3380CC4-5D6E-409C-BE32-E72D297353CC}">
              <c16:uniqueId val="{00000007-9918-4527-AE5B-EEC5F492B8B8}"/>
            </c:ext>
          </c:extLst>
        </c:ser>
        <c:ser>
          <c:idx val="17"/>
          <c:order val="17"/>
          <c:spPr>
            <a:ln w="25400">
              <a:solidFill>
                <a:srgbClr val="FF0000"/>
              </a:solidFill>
            </a:ln>
          </c:spPr>
          <c:marker>
            <c:symbol val="none"/>
          </c:marker>
          <c:val>
            <c:numRef>
              <c:f>'Calculations - Dual'!$AU$216:$AU$316</c:f>
              <c:numCache>
                <c:formatCode>0.000</c:formatCode>
                <c:ptCount val="101"/>
                <c:pt idx="0">
                  <c:v>3.1900000000000001E-3</c:v>
                </c:pt>
                <c:pt idx="1">
                  <c:v>3.1900000000000001E-3</c:v>
                </c:pt>
                <c:pt idx="2">
                  <c:v>6.1090311986863695E-3</c:v>
                </c:pt>
                <c:pt idx="3">
                  <c:v>9.163546798029552E-3</c:v>
                </c:pt>
                <c:pt idx="4">
                  <c:v>1.2218062397372739E-2</c:v>
                </c:pt>
                <c:pt idx="5">
                  <c:v>1.5272577996715928E-2</c:v>
                </c:pt>
                <c:pt idx="6">
                  <c:v>1.8327093596059104E-2</c:v>
                </c:pt>
                <c:pt idx="7">
                  <c:v>2.1381609195402298E-2</c:v>
                </c:pt>
                <c:pt idx="8">
                  <c:v>2.4436124794745478E-2</c:v>
                </c:pt>
                <c:pt idx="9">
                  <c:v>2.7490640394088665E-2</c:v>
                </c:pt>
                <c:pt idx="10">
                  <c:v>3.0545155993431855E-2</c:v>
                </c:pt>
                <c:pt idx="11">
                  <c:v>3.3599671592775035E-2</c:v>
                </c:pt>
                <c:pt idx="12">
                  <c:v>3.6654187192118208E-2</c:v>
                </c:pt>
                <c:pt idx="13">
                  <c:v>3.9708702791461409E-2</c:v>
                </c:pt>
                <c:pt idx="14">
                  <c:v>4.2763218390804596E-2</c:v>
                </c:pt>
                <c:pt idx="15">
                  <c:v>4.5817733990147776E-2</c:v>
                </c:pt>
                <c:pt idx="16">
                  <c:v>4.8872249589490956E-2</c:v>
                </c:pt>
                <c:pt idx="17">
                  <c:v>5.1926765188834142E-2</c:v>
                </c:pt>
                <c:pt idx="18">
                  <c:v>5.4981280788177329E-2</c:v>
                </c:pt>
                <c:pt idx="19">
                  <c:v>5.8035796387520516E-2</c:v>
                </c:pt>
                <c:pt idx="20">
                  <c:v>6.109031198686371E-2</c:v>
                </c:pt>
                <c:pt idx="21">
                  <c:v>6.414482758620689E-2</c:v>
                </c:pt>
                <c:pt idx="22">
                  <c:v>6.719934318555007E-2</c:v>
                </c:pt>
                <c:pt idx="23">
                  <c:v>7.025385878489325E-2</c:v>
                </c:pt>
                <c:pt idx="24">
                  <c:v>7.3308374384236416E-2</c:v>
                </c:pt>
                <c:pt idx="25">
                  <c:v>7.6362889983579624E-2</c:v>
                </c:pt>
                <c:pt idx="26">
                  <c:v>7.9417405582922818E-2</c:v>
                </c:pt>
                <c:pt idx="27">
                  <c:v>8.2471921182265998E-2</c:v>
                </c:pt>
                <c:pt idx="28">
                  <c:v>8.5526436781609191E-2</c:v>
                </c:pt>
                <c:pt idx="29">
                  <c:v>8.8580952380952357E-2</c:v>
                </c:pt>
                <c:pt idx="30">
                  <c:v>9.1635467980295551E-2</c:v>
                </c:pt>
                <c:pt idx="31">
                  <c:v>9.4689983579638745E-2</c:v>
                </c:pt>
                <c:pt idx="32">
                  <c:v>9.7744499178981911E-2</c:v>
                </c:pt>
                <c:pt idx="33">
                  <c:v>0.10079901477832511</c:v>
                </c:pt>
                <c:pt idx="34">
                  <c:v>0.10385353037766828</c:v>
                </c:pt>
                <c:pt idx="35">
                  <c:v>0.10690804597701145</c:v>
                </c:pt>
                <c:pt idx="36">
                  <c:v>0.10996256157635466</c:v>
                </c:pt>
                <c:pt idx="37">
                  <c:v>0.11165</c:v>
                </c:pt>
                <c:pt idx="38">
                  <c:v>0.11165</c:v>
                </c:pt>
                <c:pt idx="39">
                  <c:v>0.11310517229552328</c:v>
                </c:pt>
                <c:pt idx="40">
                  <c:v>0.11454606060445728</c:v>
                </c:pt>
                <c:pt idx="41">
                  <c:v>0.11596904759460601</c:v>
                </c:pt>
                <c:pt idx="42">
                  <c:v>0.11737478434484983</c:v>
                </c:pt>
                <c:pt idx="43">
                  <c:v>0.11876388339895257</c:v>
                </c:pt>
                <c:pt idx="44">
                  <c:v>0.12013692188498924</c:v>
                </c:pt>
                <c:pt idx="45">
                  <c:v>0.12149444431742548</c:v>
                </c:pt>
                <c:pt idx="46">
                  <c:v>0.12283696512043923</c:v>
                </c:pt>
                <c:pt idx="47">
                  <c:v>0.12416497090564631</c:v>
                </c:pt>
                <c:pt idx="48">
                  <c:v>0.12547892253283019</c:v>
                </c:pt>
                <c:pt idx="49">
                  <c:v>0.12677925697841902</c:v>
                </c:pt>
                <c:pt idx="50">
                  <c:v>0.12806638903318857</c:v>
                </c:pt>
                <c:pt idx="51">
                  <c:v>0.1293407128478887</c:v>
                </c:pt>
                <c:pt idx="52">
                  <c:v>0.13060260334311871</c:v>
                </c:pt>
                <c:pt idx="53">
                  <c:v>0.13185241749774634</c:v>
                </c:pt>
                <c:pt idx="54">
                  <c:v>0.13309049552841859</c:v>
                </c:pt>
                <c:pt idx="55">
                  <c:v>0.13431716197120902</c:v>
                </c:pt>
                <c:pt idx="56">
                  <c:v>0.13553272667514663</c:v>
                </c:pt>
                <c:pt idx="57">
                  <c:v>0.13673748571624389</c:v>
                </c:pt>
                <c:pt idx="58">
                  <c:v>0.13793172223966466</c:v>
                </c:pt>
                <c:pt idx="59">
                  <c:v>0.13911570723681779</c:v>
                </c:pt>
                <c:pt idx="60">
                  <c:v>0.14028970026341919</c:v>
                </c:pt>
                <c:pt idx="61">
                  <c:v>0.1414539501039119</c:v>
                </c:pt>
                <c:pt idx="62">
                  <c:v>0.14260869538706256</c:v>
                </c:pt>
                <c:pt idx="63">
                  <c:v>0.14375416515704859</c:v>
                </c:pt>
                <c:pt idx="64">
                  <c:v>0.14489057940390743</c:v>
                </c:pt>
                <c:pt idx="65">
                  <c:v>0.14601814955682738</c:v>
                </c:pt>
                <c:pt idx="66">
                  <c:v>0.14713707894341249</c:v>
                </c:pt>
                <c:pt idx="67">
                  <c:v>0.14824756321774737</c:v>
                </c:pt>
                <c:pt idx="68">
                  <c:v>0.14934979075981328</c:v>
                </c:pt>
                <c:pt idx="69">
                  <c:v>0.15044394304856543</c:v>
                </c:pt>
                <c:pt idx="70">
                  <c:v>0.15153019501076345</c:v>
                </c:pt>
                <c:pt idx="71">
                  <c:v>0.15260871534745321</c:v>
                </c:pt>
                <c:pt idx="72">
                  <c:v>0.15367966683982626</c:v>
                </c:pt>
                <c:pt idx="73">
                  <c:v>0.1547432066360265</c:v>
                </c:pt>
                <c:pt idx="74">
                  <c:v>0.15579948652033485</c:v>
                </c:pt>
                <c:pt idx="75">
                  <c:v>0.15684865316603774</c:v>
                </c:pt>
                <c:pt idx="76">
                  <c:v>0.15789084837317208</c:v>
                </c:pt>
                <c:pt idx="77">
                  <c:v>0.15892620929223725</c:v>
                </c:pt>
                <c:pt idx="78">
                  <c:v>0.15995486863487463</c:v>
                </c:pt>
                <c:pt idx="79">
                  <c:v>0.16097695487242888</c:v>
                </c:pt>
                <c:pt idx="80">
                  <c:v>0.16199259242323399</c:v>
                </c:pt>
                <c:pt idx="81">
                  <c:v>0.16300190182939586</c:v>
                </c:pt>
                <c:pt idx="82">
                  <c:v>0.16400499992378284</c:v>
                </c:pt>
                <c:pt idx="83">
                  <c:v>0.16500199998787893</c:v>
                </c:pt>
                <c:pt idx="84">
                  <c:v>0.16599301190110383</c:v>
                </c:pt>
                <c:pt idx="85">
                  <c:v>0.16697814228215624</c:v>
                </c:pt>
                <c:pt idx="86">
                  <c:v>0.16795749462289561</c:v>
                </c:pt>
                <c:pt idx="87">
                  <c:v>0.1689311694152385</c:v>
                </c:pt>
                <c:pt idx="88">
                  <c:v>0.16989926427150887</c:v>
                </c:pt>
                <c:pt idx="89">
                  <c:v>0.17086187403865147</c:v>
                </c:pt>
                <c:pt idx="90">
                  <c:v>0.17181909090668593</c:v>
                </c:pt>
                <c:pt idx="91">
                  <c:v>0.17277100451175248</c:v>
                </c:pt>
                <c:pt idx="92">
                  <c:v>0.17371770203407594</c:v>
                </c:pt>
                <c:pt idx="93">
                  <c:v>0.17465926829115025</c:v>
                </c:pt>
                <c:pt idx="94">
                  <c:v>0.17559578582642577</c:v>
                </c:pt>
                <c:pt idx="95">
                  <c:v>0.17652733499376236</c:v>
                </c:pt>
                <c:pt idx="96">
                  <c:v>0.17745399403789142</c:v>
                </c:pt>
                <c:pt idx="97">
                  <c:v>0.17837583917111643</c:v>
                </c:pt>
                <c:pt idx="98">
                  <c:v>0.17929294464646398</c:v>
                </c:pt>
                <c:pt idx="99">
                  <c:v>0.18020538282748383</c:v>
                </c:pt>
                <c:pt idx="100">
                  <c:v>0.18111322425488424</c:v>
                </c:pt>
              </c:numCache>
            </c:numRef>
          </c:val>
          <c:smooth val="0"/>
          <c:extLst>
            <c:ext xmlns:c16="http://schemas.microsoft.com/office/drawing/2014/chart" uri="{C3380CC4-5D6E-409C-BE32-E72D297353CC}">
              <c16:uniqueId val="{00000008-9918-4527-AE5B-EEC5F492B8B8}"/>
            </c:ext>
          </c:extLst>
        </c:ser>
        <c:ser>
          <c:idx val="1"/>
          <c:order val="0"/>
          <c:tx>
            <c:v>VIN-min</c:v>
          </c:tx>
          <c:spPr>
            <a:ln>
              <a:solidFill>
                <a:srgbClr val="00B050"/>
              </a:solidFill>
              <a:prstDash val="sysDash"/>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c:v>
                </c:pt>
                <c:pt idx="2">
                  <c:v>19.150568020960407</c:v>
                </c:pt>
                <c:pt idx="3">
                  <c:v>28.725852031440606</c:v>
                </c:pt>
                <c:pt idx="4">
                  <c:v>38.301136041920813</c:v>
                </c:pt>
                <c:pt idx="5">
                  <c:v>47.876420052401031</c:v>
                </c:pt>
                <c:pt idx="6">
                  <c:v>57.451704062881213</c:v>
                </c:pt>
                <c:pt idx="7">
                  <c:v>67.026988073361437</c:v>
                </c:pt>
                <c:pt idx="8">
                  <c:v>76.602272083841626</c:v>
                </c:pt>
                <c:pt idx="9">
                  <c:v>86.17755609432183</c:v>
                </c:pt>
                <c:pt idx="10">
                  <c:v>95.752840104802061</c:v>
                </c:pt>
                <c:pt idx="11">
                  <c:v>105.32812411528224</c:v>
                </c:pt>
                <c:pt idx="12">
                  <c:v>114.90340812576243</c:v>
                </c:pt>
                <c:pt idx="13">
                  <c:v>124.47869213624266</c:v>
                </c:pt>
                <c:pt idx="14">
                  <c:v>134.05397614672287</c:v>
                </c:pt>
                <c:pt idx="15">
                  <c:v>143.62926015720305</c:v>
                </c:pt>
                <c:pt idx="16">
                  <c:v>153.20454416768325</c:v>
                </c:pt>
                <c:pt idx="17">
                  <c:v>162.77982817816346</c:v>
                </c:pt>
                <c:pt idx="18">
                  <c:v>172.35511218864366</c:v>
                </c:pt>
                <c:pt idx="19">
                  <c:v>181.93039619912389</c:v>
                </c:pt>
                <c:pt idx="20">
                  <c:v>191.50568020960412</c:v>
                </c:pt>
                <c:pt idx="21">
                  <c:v>201.08096422008427</c:v>
                </c:pt>
                <c:pt idx="22">
                  <c:v>210.65624823056447</c:v>
                </c:pt>
                <c:pt idx="23">
                  <c:v>220.23153224104468</c:v>
                </c:pt>
                <c:pt idx="24">
                  <c:v>229.80681625152485</c:v>
                </c:pt>
                <c:pt idx="25">
                  <c:v>239.38210026200508</c:v>
                </c:pt>
                <c:pt idx="26">
                  <c:v>248.95738427248531</c:v>
                </c:pt>
                <c:pt idx="27">
                  <c:v>258.53266828296552</c:v>
                </c:pt>
                <c:pt idx="28">
                  <c:v>268.10795229344575</c:v>
                </c:pt>
                <c:pt idx="29">
                  <c:v>277.68323630392587</c:v>
                </c:pt>
                <c:pt idx="30">
                  <c:v>287.2585203144061</c:v>
                </c:pt>
                <c:pt idx="31">
                  <c:v>296.83380432488633</c:v>
                </c:pt>
                <c:pt idx="32">
                  <c:v>306.4090883353665</c:v>
                </c:pt>
                <c:pt idx="33">
                  <c:v>315.98437234584674</c:v>
                </c:pt>
                <c:pt idx="34">
                  <c:v>325.55965635632691</c:v>
                </c:pt>
                <c:pt idx="35">
                  <c:v>335.13494036680709</c:v>
                </c:pt>
                <c:pt idx="36">
                  <c:v>344.71022437728732</c:v>
                </c:pt>
                <c:pt idx="37">
                  <c:v>333.87748105808538</c:v>
                </c:pt>
                <c:pt idx="38">
                  <c:v>325.09123155655669</c:v>
                </c:pt>
                <c:pt idx="39">
                  <c:v>316.75555895254246</c:v>
                </c:pt>
                <c:pt idx="40">
                  <c:v>308.83666997872893</c:v>
                </c:pt>
                <c:pt idx="41">
                  <c:v>301.30406827193076</c:v>
                </c:pt>
                <c:pt idx="42">
                  <c:v>294.13016188450371</c:v>
                </c:pt>
                <c:pt idx="43">
                  <c:v>287.28992556160824</c:v>
                </c:pt>
                <c:pt idx="44">
                  <c:v>280.76060907157182</c:v>
                </c:pt>
                <c:pt idx="45">
                  <c:v>274.52148442553681</c:v>
                </c:pt>
                <c:pt idx="46">
                  <c:v>268.55362606845989</c:v>
                </c:pt>
                <c:pt idx="47">
                  <c:v>262.83971913083315</c:v>
                </c:pt>
                <c:pt idx="48">
                  <c:v>257.36389164894081</c:v>
                </c:pt>
                <c:pt idx="49">
                  <c:v>252.11156732957463</c:v>
                </c:pt>
                <c:pt idx="50">
                  <c:v>247.06933598298315</c:v>
                </c:pt>
                <c:pt idx="51">
                  <c:v>242.22483919900304</c:v>
                </c:pt>
                <c:pt idx="52">
                  <c:v>237.5666692144068</c:v>
                </c:pt>
                <c:pt idx="53">
                  <c:v>233.08427922922937</c:v>
                </c:pt>
                <c:pt idx="54">
                  <c:v>228.76790368794732</c:v>
                </c:pt>
                <c:pt idx="55">
                  <c:v>224.60848725725737</c:v>
                </c:pt>
                <c:pt idx="56">
                  <c:v>220.59762141337779</c:v>
                </c:pt>
                <c:pt idx="57">
                  <c:v>216.72748770437119</c:v>
                </c:pt>
                <c:pt idx="58">
                  <c:v>212.99080688188207</c:v>
                </c:pt>
                <c:pt idx="59">
                  <c:v>209.38079320591794</c:v>
                </c:pt>
                <c:pt idx="60">
                  <c:v>205.89111331915265</c:v>
                </c:pt>
                <c:pt idx="61">
                  <c:v>202.51584916637964</c:v>
                </c:pt>
                <c:pt idx="62">
                  <c:v>199.2494645024058</c:v>
                </c:pt>
                <c:pt idx="63">
                  <c:v>196.08677458966918</c:v>
                </c:pt>
                <c:pt idx="64">
                  <c:v>193.02291873670561</c:v>
                </c:pt>
                <c:pt idx="65">
                  <c:v>190.05333537152549</c:v>
                </c:pt>
                <c:pt idx="66">
                  <c:v>187.17373938104785</c:v>
                </c:pt>
                <c:pt idx="67">
                  <c:v>184.38010147983815</c:v>
                </c:pt>
                <c:pt idx="68">
                  <c:v>181.66862939925232</c:v>
                </c:pt>
                <c:pt idx="69">
                  <c:v>179.03575071230668</c:v>
                </c:pt>
                <c:pt idx="70">
                  <c:v>176.47809713070228</c:v>
                </c:pt>
                <c:pt idx="71">
                  <c:v>173.99249012886139</c:v>
                </c:pt>
                <c:pt idx="72">
                  <c:v>171.57592776596056</c:v>
                </c:pt>
                <c:pt idx="73">
                  <c:v>169.22557259108433</c:v>
                </c:pt>
                <c:pt idx="74">
                  <c:v>166.93874052904269</c:v>
                </c:pt>
                <c:pt idx="75">
                  <c:v>164.71289065532207</c:v>
                </c:pt>
                <c:pt idx="76">
                  <c:v>162.54561577827835</c:v>
                </c:pt>
                <c:pt idx="77">
                  <c:v>160.43463375518382</c:v>
                </c:pt>
                <c:pt idx="78">
                  <c:v>158.37777947627123</c:v>
                </c:pt>
                <c:pt idx="79">
                  <c:v>156.37299745758423</c:v>
                </c:pt>
                <c:pt idx="80">
                  <c:v>154.41833498936447</c:v>
                </c:pt>
                <c:pt idx="81">
                  <c:v>152.5119357919649</c:v>
                </c:pt>
                <c:pt idx="82">
                  <c:v>150.65203413596538</c:v>
                </c:pt>
                <c:pt idx="83">
                  <c:v>148.83694938733925</c:v>
                </c:pt>
                <c:pt idx="84">
                  <c:v>147.06508094225185</c:v>
                </c:pt>
                <c:pt idx="85">
                  <c:v>145.33490351940182</c:v>
                </c:pt>
                <c:pt idx="86">
                  <c:v>143.64496278080412</c:v>
                </c:pt>
                <c:pt idx="87">
                  <c:v>141.99387125458799</c:v>
                </c:pt>
                <c:pt idx="88">
                  <c:v>140.38030453578591</c:v>
                </c:pt>
                <c:pt idx="89">
                  <c:v>138.80299774324894</c:v>
                </c:pt>
                <c:pt idx="90">
                  <c:v>137.26074221276841</c:v>
                </c:pt>
                <c:pt idx="91">
                  <c:v>135.75238240823248</c:v>
                </c:pt>
                <c:pt idx="92">
                  <c:v>134.27681303422995</c:v>
                </c:pt>
                <c:pt idx="93">
                  <c:v>132.83297633493711</c:v>
                </c:pt>
                <c:pt idx="94">
                  <c:v>131.41985956541657</c:v>
                </c:pt>
                <c:pt idx="95">
                  <c:v>130.03649262262269</c:v>
                </c:pt>
                <c:pt idx="96">
                  <c:v>128.6819458244704</c:v>
                </c:pt>
                <c:pt idx="97">
                  <c:v>127.35532782627995</c:v>
                </c:pt>
                <c:pt idx="98">
                  <c:v>126.05578366478731</c:v>
                </c:pt>
                <c:pt idx="99">
                  <c:v>124.78249292069852</c:v>
                </c:pt>
                <c:pt idx="100">
                  <c:v>123.53466799149157</c:v>
                </c:pt>
              </c:numCache>
            </c:numRef>
          </c:val>
          <c:smooth val="0"/>
          <c:extLst>
            <c:ext xmlns:c16="http://schemas.microsoft.com/office/drawing/2014/chart" uri="{C3380CC4-5D6E-409C-BE32-E72D297353CC}">
              <c16:uniqueId val="{00000009-9918-4527-AE5B-EEC5F492B8B8}"/>
            </c:ext>
          </c:extLst>
        </c:ser>
        <c:ser>
          <c:idx val="0"/>
          <c:order val="1"/>
          <c:tx>
            <c:v>VIN-nom</c:v>
          </c:tx>
          <c:spPr>
            <a:ln w="28575">
              <a:solidFill>
                <a:srgbClr val="0000FF"/>
              </a:solidFill>
              <a:prstDash val="lgDash"/>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c:v>
                </c:pt>
                <c:pt idx="2">
                  <c:v>19.150568020960407</c:v>
                </c:pt>
                <c:pt idx="3">
                  <c:v>28.725852031440606</c:v>
                </c:pt>
                <c:pt idx="4">
                  <c:v>38.301136041920813</c:v>
                </c:pt>
                <c:pt idx="5">
                  <c:v>47.876420052401031</c:v>
                </c:pt>
                <c:pt idx="6">
                  <c:v>57.451704062881213</c:v>
                </c:pt>
                <c:pt idx="7">
                  <c:v>67.026988073361437</c:v>
                </c:pt>
                <c:pt idx="8">
                  <c:v>76.602272083841626</c:v>
                </c:pt>
                <c:pt idx="9">
                  <c:v>86.17755609432183</c:v>
                </c:pt>
                <c:pt idx="10">
                  <c:v>95.752840104802061</c:v>
                </c:pt>
                <c:pt idx="11">
                  <c:v>105.32812411528224</c:v>
                </c:pt>
                <c:pt idx="12">
                  <c:v>114.90340812576243</c:v>
                </c:pt>
                <c:pt idx="13">
                  <c:v>124.47869213624266</c:v>
                </c:pt>
                <c:pt idx="14">
                  <c:v>134.05397614672287</c:v>
                </c:pt>
                <c:pt idx="15">
                  <c:v>143.62926015720305</c:v>
                </c:pt>
                <c:pt idx="16">
                  <c:v>153.20454416768325</c:v>
                </c:pt>
                <c:pt idx="17">
                  <c:v>162.77982817816346</c:v>
                </c:pt>
                <c:pt idx="18">
                  <c:v>172.35511218864366</c:v>
                </c:pt>
                <c:pt idx="19">
                  <c:v>181.93039619912389</c:v>
                </c:pt>
                <c:pt idx="20">
                  <c:v>191.50568020960412</c:v>
                </c:pt>
                <c:pt idx="21">
                  <c:v>201.08096422008427</c:v>
                </c:pt>
                <c:pt idx="22">
                  <c:v>210.65624823056447</c:v>
                </c:pt>
                <c:pt idx="23">
                  <c:v>220.23153224104468</c:v>
                </c:pt>
                <c:pt idx="24">
                  <c:v>229.80681625152485</c:v>
                </c:pt>
                <c:pt idx="25">
                  <c:v>239.38210026200508</c:v>
                </c:pt>
                <c:pt idx="26">
                  <c:v>248.95738427248531</c:v>
                </c:pt>
                <c:pt idx="27">
                  <c:v>258.53266828296552</c:v>
                </c:pt>
                <c:pt idx="28">
                  <c:v>268.10795229344575</c:v>
                </c:pt>
                <c:pt idx="29">
                  <c:v>277.68323630392587</c:v>
                </c:pt>
                <c:pt idx="30">
                  <c:v>287.2585203144061</c:v>
                </c:pt>
                <c:pt idx="31">
                  <c:v>296.83380432488633</c:v>
                </c:pt>
                <c:pt idx="32">
                  <c:v>306.4090883353665</c:v>
                </c:pt>
                <c:pt idx="33">
                  <c:v>315.98437234584674</c:v>
                </c:pt>
                <c:pt idx="34">
                  <c:v>325.55965635632691</c:v>
                </c:pt>
                <c:pt idx="35">
                  <c:v>335.13494036680709</c:v>
                </c:pt>
                <c:pt idx="36">
                  <c:v>344.71022437728732</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349.18886392749778</c:v>
                </c:pt>
                <c:pt idx="80">
                  <c:v>344.824003128404</c:v>
                </c:pt>
                <c:pt idx="81">
                  <c:v>340.56691667002877</c:v>
                </c:pt>
                <c:pt idx="82">
                  <c:v>336.41366158868698</c:v>
                </c:pt>
                <c:pt idx="83">
                  <c:v>332.36048494304003</c:v>
                </c:pt>
                <c:pt idx="84">
                  <c:v>328.40381250324197</c:v>
                </c:pt>
                <c:pt idx="85">
                  <c:v>324.54023823849792</c:v>
                </c:pt>
                <c:pt idx="86">
                  <c:v>320.76651453805027</c:v>
                </c:pt>
                <c:pt idx="87">
                  <c:v>317.07954310657857</c:v>
                </c:pt>
                <c:pt idx="88">
                  <c:v>313.4763664803674</c:v>
                </c:pt>
                <c:pt idx="89">
                  <c:v>309.95416011541937</c:v>
                </c:pt>
                <c:pt idx="90">
                  <c:v>306.51022500302582</c:v>
                </c:pt>
                <c:pt idx="91">
                  <c:v>303.14198077222329</c:v>
                </c:pt>
                <c:pt idx="92">
                  <c:v>299.84695924209046</c:v>
                </c:pt>
                <c:pt idx="93">
                  <c:v>296.62279839002503</c:v>
                </c:pt>
                <c:pt idx="94">
                  <c:v>293.46723670502479</c:v>
                </c:pt>
                <c:pt idx="95">
                  <c:v>290.37810789760346</c:v>
                </c:pt>
                <c:pt idx="96">
                  <c:v>287.35333594033676</c:v>
                </c:pt>
                <c:pt idx="97">
                  <c:v>284.39093041517867</c:v>
                </c:pt>
                <c:pt idx="98">
                  <c:v>281.48898214563599</c:v>
                </c:pt>
                <c:pt idx="99">
                  <c:v>278.64565909365984</c:v>
                </c:pt>
                <c:pt idx="100">
                  <c:v>275.85920250272329</c:v>
                </c:pt>
              </c:numCache>
            </c:numRef>
          </c:val>
          <c:smooth val="0"/>
          <c:extLst>
            <c:ext xmlns:c16="http://schemas.microsoft.com/office/drawing/2014/chart" uri="{C3380CC4-5D6E-409C-BE32-E72D297353CC}">
              <c16:uniqueId val="{0000000A-9918-4527-AE5B-EEC5F492B8B8}"/>
            </c:ext>
          </c:extLst>
        </c:ser>
        <c:ser>
          <c:idx val="2"/>
          <c:order val="2"/>
          <c:tx>
            <c:v>VIN-max</c:v>
          </c:tx>
          <c:spPr>
            <a:ln>
              <a:solidFill>
                <a:srgbClr val="FF0000"/>
              </a:solidFill>
              <a:prstDash val="solid"/>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c:v>
                </c:pt>
                <c:pt idx="2">
                  <c:v>19.150568020960407</c:v>
                </c:pt>
                <c:pt idx="3">
                  <c:v>28.725852031440606</c:v>
                </c:pt>
                <c:pt idx="4">
                  <c:v>38.301136041920813</c:v>
                </c:pt>
                <c:pt idx="5">
                  <c:v>47.876420052401031</c:v>
                </c:pt>
                <c:pt idx="6">
                  <c:v>57.451704062881213</c:v>
                </c:pt>
                <c:pt idx="7">
                  <c:v>67.026988073361437</c:v>
                </c:pt>
                <c:pt idx="8">
                  <c:v>76.602272083841626</c:v>
                </c:pt>
                <c:pt idx="9">
                  <c:v>86.17755609432183</c:v>
                </c:pt>
                <c:pt idx="10">
                  <c:v>95.752840104802061</c:v>
                </c:pt>
                <c:pt idx="11">
                  <c:v>105.32812411528224</c:v>
                </c:pt>
                <c:pt idx="12">
                  <c:v>114.90340812576243</c:v>
                </c:pt>
                <c:pt idx="13">
                  <c:v>124.47869213624266</c:v>
                </c:pt>
                <c:pt idx="14">
                  <c:v>134.05397614672287</c:v>
                </c:pt>
                <c:pt idx="15">
                  <c:v>143.62926015720305</c:v>
                </c:pt>
                <c:pt idx="16">
                  <c:v>153.20454416768325</c:v>
                </c:pt>
                <c:pt idx="17">
                  <c:v>162.77982817816346</c:v>
                </c:pt>
                <c:pt idx="18">
                  <c:v>172.35511218864366</c:v>
                </c:pt>
                <c:pt idx="19">
                  <c:v>181.93039619912389</c:v>
                </c:pt>
                <c:pt idx="20">
                  <c:v>191.50568020960412</c:v>
                </c:pt>
                <c:pt idx="21">
                  <c:v>201.08096422008427</c:v>
                </c:pt>
                <c:pt idx="22">
                  <c:v>210.65624823056447</c:v>
                </c:pt>
                <c:pt idx="23">
                  <c:v>220.23153224104468</c:v>
                </c:pt>
                <c:pt idx="24">
                  <c:v>229.80681625152485</c:v>
                </c:pt>
                <c:pt idx="25">
                  <c:v>239.38210026200508</c:v>
                </c:pt>
                <c:pt idx="26">
                  <c:v>248.95738427248531</c:v>
                </c:pt>
                <c:pt idx="27">
                  <c:v>258.53266828296552</c:v>
                </c:pt>
                <c:pt idx="28">
                  <c:v>268.10795229344575</c:v>
                </c:pt>
                <c:pt idx="29">
                  <c:v>277.68323630392587</c:v>
                </c:pt>
                <c:pt idx="30">
                  <c:v>287.2585203144061</c:v>
                </c:pt>
                <c:pt idx="31">
                  <c:v>296.83380432488633</c:v>
                </c:pt>
                <c:pt idx="32">
                  <c:v>306.4090883353665</c:v>
                </c:pt>
                <c:pt idx="33">
                  <c:v>315.98437234584674</c:v>
                </c:pt>
                <c:pt idx="34">
                  <c:v>325.55965635632691</c:v>
                </c:pt>
                <c:pt idx="35">
                  <c:v>335.13494036680709</c:v>
                </c:pt>
                <c:pt idx="36">
                  <c:v>344.71022437728732</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val>
          <c:smooth val="0"/>
          <c:extLst>
            <c:ext xmlns:c16="http://schemas.microsoft.com/office/drawing/2014/chart" uri="{C3380CC4-5D6E-409C-BE32-E72D297353CC}">
              <c16:uniqueId val="{0000000B-9918-4527-AE5B-EEC5F492B8B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Dual'!$CB$110:$CB$210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9918-4527-AE5B-EEC5F492B8B8}"/>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9918-4527-AE5B-EEC5F492B8B8}"/>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Dual'!$CB$216:$CB$316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9918-4527-AE5B-EEC5F492B8B8}"/>
            </c:ext>
          </c:extLst>
        </c:ser>
        <c:dLbls>
          <c:showLegendKey val="0"/>
          <c:showVal val="0"/>
          <c:showCatName val="0"/>
          <c:showSerName val="0"/>
          <c:showPercent val="0"/>
          <c:showBubbleSize val="0"/>
        </c:dLbls>
        <c:marker val="1"/>
        <c:smooth val="0"/>
        <c:axId val="143315328"/>
        <c:axId val="143317248"/>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6.6458333333333335E-3</c:v>
                </c:pt>
                <c:pt idx="1">
                  <c:v>6.6458333333333335E-3</c:v>
                </c:pt>
                <c:pt idx="2">
                  <c:v>1.2727148330596603E-2</c:v>
                </c:pt>
                <c:pt idx="3">
                  <c:v>1.9090722495894899E-2</c:v>
                </c:pt>
                <c:pt idx="4">
                  <c:v>2.5454296661193206E-2</c:v>
                </c:pt>
                <c:pt idx="5">
                  <c:v>3.1817870826491512E-2</c:v>
                </c:pt>
                <c:pt idx="6">
                  <c:v>3.8181444991789798E-2</c:v>
                </c:pt>
                <c:pt idx="7">
                  <c:v>4.4545019157088118E-2</c:v>
                </c:pt>
                <c:pt idx="8">
                  <c:v>5.0908593322386411E-2</c:v>
                </c:pt>
                <c:pt idx="9">
                  <c:v>5.7272167487684711E-2</c:v>
                </c:pt>
                <c:pt idx="10">
                  <c:v>6.3635741652983024E-2</c:v>
                </c:pt>
                <c:pt idx="11">
                  <c:v>6.999931581828131E-2</c:v>
                </c:pt>
                <c:pt idx="12">
                  <c:v>7.6362889983579596E-2</c:v>
                </c:pt>
                <c:pt idx="13">
                  <c:v>8.2726464148877923E-2</c:v>
                </c:pt>
                <c:pt idx="14">
                  <c:v>8.9090038314176237E-2</c:v>
                </c:pt>
                <c:pt idx="15">
                  <c:v>9.5453612479474523E-2</c:v>
                </c:pt>
                <c:pt idx="16">
                  <c:v>0.10181718664477282</c:v>
                </c:pt>
                <c:pt idx="17">
                  <c:v>0.10818076081007112</c:v>
                </c:pt>
                <c:pt idx="18">
                  <c:v>0.11454433497536942</c:v>
                </c:pt>
                <c:pt idx="19">
                  <c:v>0.12090790914066774</c:v>
                </c:pt>
                <c:pt idx="20">
                  <c:v>0.12727148330596605</c:v>
                </c:pt>
                <c:pt idx="21">
                  <c:v>0.13363505747126436</c:v>
                </c:pt>
                <c:pt idx="22">
                  <c:v>0.13999863163656262</c:v>
                </c:pt>
                <c:pt idx="23">
                  <c:v>0.14636220580186093</c:v>
                </c:pt>
                <c:pt idx="24">
                  <c:v>0.15272577996715919</c:v>
                </c:pt>
                <c:pt idx="25">
                  <c:v>0.15908935413245753</c:v>
                </c:pt>
                <c:pt idx="26">
                  <c:v>0.16545292829775585</c:v>
                </c:pt>
                <c:pt idx="27">
                  <c:v>0.17181650246305416</c:v>
                </c:pt>
                <c:pt idx="28">
                  <c:v>0.17818007662835247</c:v>
                </c:pt>
                <c:pt idx="29">
                  <c:v>0.18454365079365073</c:v>
                </c:pt>
                <c:pt idx="30">
                  <c:v>0.19090722495894905</c:v>
                </c:pt>
                <c:pt idx="31">
                  <c:v>0.19727079912424736</c:v>
                </c:pt>
                <c:pt idx="32">
                  <c:v>0.20363437328954564</c:v>
                </c:pt>
                <c:pt idx="33">
                  <c:v>0.20999794745484396</c:v>
                </c:pt>
                <c:pt idx="34">
                  <c:v>0.21636152162014224</c:v>
                </c:pt>
                <c:pt idx="35">
                  <c:v>0.22272509578544053</c:v>
                </c:pt>
                <c:pt idx="36">
                  <c:v>0.22908866995073884</c:v>
                </c:pt>
                <c:pt idx="37">
                  <c:v>0.23260416666666664</c:v>
                </c:pt>
                <c:pt idx="38">
                  <c:v>0.23260416666666664</c:v>
                </c:pt>
                <c:pt idx="39">
                  <c:v>0.23563577561567348</c:v>
                </c:pt>
                <c:pt idx="40">
                  <c:v>0.23863762625928597</c:v>
                </c:pt>
                <c:pt idx="41">
                  <c:v>0.24160218248876256</c:v>
                </c:pt>
                <c:pt idx="42">
                  <c:v>0.24453080071843711</c:v>
                </c:pt>
                <c:pt idx="43">
                  <c:v>0.24742475708115119</c:v>
                </c:pt>
                <c:pt idx="44">
                  <c:v>0.25028525392706091</c:v>
                </c:pt>
                <c:pt idx="45">
                  <c:v>0.25311342566130313</c:v>
                </c:pt>
                <c:pt idx="46">
                  <c:v>0.25591034400091506</c:v>
                </c:pt>
                <c:pt idx="47">
                  <c:v>0.25867702272009652</c:v>
                </c:pt>
                <c:pt idx="48">
                  <c:v>0.2614144219433962</c:v>
                </c:pt>
                <c:pt idx="49">
                  <c:v>0.26412345203837295</c:v>
                </c:pt>
                <c:pt idx="50">
                  <c:v>0.26680497715247614</c:v>
                </c:pt>
                <c:pt idx="51">
                  <c:v>0.26945981843310152</c:v>
                </c:pt>
                <c:pt idx="52">
                  <c:v>0.27208875696483065</c:v>
                </c:pt>
                <c:pt idx="53">
                  <c:v>0.27469253645363817</c:v>
                </c:pt>
                <c:pt idx="54">
                  <c:v>0.27727186568420542</c:v>
                </c:pt>
                <c:pt idx="55">
                  <c:v>0.27982742077335215</c:v>
                </c:pt>
                <c:pt idx="56">
                  <c:v>0.28235984723988877</c:v>
                </c:pt>
                <c:pt idx="57">
                  <c:v>0.28486976190884145</c:v>
                </c:pt>
                <c:pt idx="58">
                  <c:v>0.28735775466596797</c:v>
                </c:pt>
                <c:pt idx="59">
                  <c:v>0.28982439007670374</c:v>
                </c:pt>
                <c:pt idx="60">
                  <c:v>0.29227020888212329</c:v>
                </c:pt>
                <c:pt idx="61">
                  <c:v>0.29469572938314981</c:v>
                </c:pt>
                <c:pt idx="62">
                  <c:v>0.297101448723047</c:v>
                </c:pt>
                <c:pt idx="63">
                  <c:v>0.2994878440771846</c:v>
                </c:pt>
                <c:pt idx="64">
                  <c:v>0.30185537375814048</c:v>
                </c:pt>
                <c:pt idx="65">
                  <c:v>0.30420447824339031</c:v>
                </c:pt>
                <c:pt idx="66">
                  <c:v>0.30653558113210938</c:v>
                </c:pt>
                <c:pt idx="67">
                  <c:v>0.30884909003697369</c:v>
                </c:pt>
                <c:pt idx="68">
                  <c:v>0.31114539741627767</c:v>
                </c:pt>
                <c:pt idx="69">
                  <c:v>0.31342488135117796</c:v>
                </c:pt>
                <c:pt idx="70">
                  <c:v>0.31568790627242382</c:v>
                </c:pt>
                <c:pt idx="71">
                  <c:v>0.3179348236405275</c:v>
                </c:pt>
                <c:pt idx="72">
                  <c:v>0.32016597258297141</c:v>
                </c:pt>
                <c:pt idx="73">
                  <c:v>0.32238168049172189</c:v>
                </c:pt>
                <c:pt idx="74">
                  <c:v>0.32458226358403092</c:v>
                </c:pt>
                <c:pt idx="75">
                  <c:v>0.32676802742924527</c:v>
                </c:pt>
                <c:pt idx="76">
                  <c:v>0.32893926744410845</c:v>
                </c:pt>
                <c:pt idx="77">
                  <c:v>0.33109626935882763</c:v>
                </c:pt>
                <c:pt idx="78">
                  <c:v>0.33323930965598875</c:v>
                </c:pt>
                <c:pt idx="79">
                  <c:v>0.33459142851435431</c:v>
                </c:pt>
                <c:pt idx="80">
                  <c:v>0.33249365593171143</c:v>
                </c:pt>
                <c:pt idx="81">
                  <c:v>0.33043485188921479</c:v>
                </c:pt>
                <c:pt idx="82">
                  <c:v>0.32841382466197688</c:v>
                </c:pt>
                <c:pt idx="83">
                  <c:v>0.32642943293180315</c:v>
                </c:pt>
                <c:pt idx="84">
                  <c:v>0.32448058307868166</c:v>
                </c:pt>
                <c:pt idx="85">
                  <c:v>0.35309973045822102</c:v>
                </c:pt>
                <c:pt idx="86">
                  <c:v>0.35309973045822102</c:v>
                </c:pt>
                <c:pt idx="87">
                  <c:v>0.35309973045822113</c:v>
                </c:pt>
                <c:pt idx="88">
                  <c:v>0.35309973045822107</c:v>
                </c:pt>
                <c:pt idx="89">
                  <c:v>0.35309973045822096</c:v>
                </c:pt>
                <c:pt idx="90">
                  <c:v>0.35309973045822102</c:v>
                </c:pt>
                <c:pt idx="91">
                  <c:v>0.35309973045822102</c:v>
                </c:pt>
                <c:pt idx="92">
                  <c:v>0.35309973045822091</c:v>
                </c:pt>
                <c:pt idx="93">
                  <c:v>0.35309973045822102</c:v>
                </c:pt>
                <c:pt idx="94">
                  <c:v>0.35309973045822102</c:v>
                </c:pt>
                <c:pt idx="95">
                  <c:v>0.35309973045822107</c:v>
                </c:pt>
                <c:pt idx="96">
                  <c:v>0.35309973045822102</c:v>
                </c:pt>
                <c:pt idx="97">
                  <c:v>0.35309973045822113</c:v>
                </c:pt>
                <c:pt idx="98">
                  <c:v>0.35309973045822102</c:v>
                </c:pt>
                <c:pt idx="99">
                  <c:v>0.35309973045822091</c:v>
                </c:pt>
                <c:pt idx="100">
                  <c:v>0.35309973045822102</c:v>
                </c:pt>
              </c:numCache>
            </c:numRef>
          </c:val>
          <c:smooth val="0"/>
          <c:extLst>
            <c:ext xmlns:c16="http://schemas.microsoft.com/office/drawing/2014/chart" uri="{C3380CC4-5D6E-409C-BE32-E72D297353CC}">
              <c16:uniqueId val="{0000000F-9918-4527-AE5B-EEC5F492B8B8}"/>
            </c:ext>
          </c:extLst>
        </c:ser>
        <c:ser>
          <c:idx val="7"/>
          <c:order val="7"/>
          <c:spPr>
            <a:ln w="25400">
              <a:solidFill>
                <a:srgbClr val="00B050"/>
              </a:solidFill>
              <a:prstDash val="dash"/>
            </a:ln>
          </c:spPr>
          <c:marker>
            <c:symbol val="none"/>
          </c:marker>
          <c:val>
            <c:numRef>
              <c:f>'Calculations - Dual'!$AU$110:$AU$210</c:f>
              <c:numCache>
                <c:formatCode>0.000</c:formatCode>
                <c:ptCount val="101"/>
                <c:pt idx="0">
                  <c:v>1.5949999999999999E-2</c:v>
                </c:pt>
                <c:pt idx="1">
                  <c:v>1.5949999999999999E-2</c:v>
                </c:pt>
                <c:pt idx="2">
                  <c:v>3.0545155993431841E-2</c:v>
                </c:pt>
                <c:pt idx="3">
                  <c:v>4.5817733990147755E-2</c:v>
                </c:pt>
                <c:pt idx="4">
                  <c:v>6.1090311986863682E-2</c:v>
                </c:pt>
                <c:pt idx="5">
                  <c:v>7.6362889983579624E-2</c:v>
                </c:pt>
                <c:pt idx="6">
                  <c:v>9.163546798029551E-2</c:v>
                </c:pt>
                <c:pt idx="7">
                  <c:v>0.10690804597701146</c:v>
                </c:pt>
                <c:pt idx="8">
                  <c:v>0.12218062397372736</c:v>
                </c:pt>
                <c:pt idx="9">
                  <c:v>0.13745320197044331</c:v>
                </c:pt>
                <c:pt idx="10">
                  <c:v>0.15272577996715925</c:v>
                </c:pt>
                <c:pt idx="11">
                  <c:v>0.16799835796387513</c:v>
                </c:pt>
                <c:pt idx="12">
                  <c:v>0.18327093596059102</c:v>
                </c:pt>
                <c:pt idx="13">
                  <c:v>0.19854351395730699</c:v>
                </c:pt>
                <c:pt idx="14">
                  <c:v>0.21381609195402293</c:v>
                </c:pt>
                <c:pt idx="15">
                  <c:v>0.22908866995073884</c:v>
                </c:pt>
                <c:pt idx="16">
                  <c:v>0.24436124794745473</c:v>
                </c:pt>
                <c:pt idx="17">
                  <c:v>0.25963382594417067</c:v>
                </c:pt>
                <c:pt idx="18">
                  <c:v>0.27490640394088661</c:v>
                </c:pt>
                <c:pt idx="19">
                  <c:v>0.29017898193760255</c:v>
                </c:pt>
                <c:pt idx="20">
                  <c:v>0.3054515599343185</c:v>
                </c:pt>
                <c:pt idx="21">
                  <c:v>0.32072413793103438</c:v>
                </c:pt>
                <c:pt idx="22">
                  <c:v>0.33599671592775027</c:v>
                </c:pt>
                <c:pt idx="23">
                  <c:v>0.35126929392446621</c:v>
                </c:pt>
                <c:pt idx="24">
                  <c:v>0.36654187192118204</c:v>
                </c:pt>
                <c:pt idx="25">
                  <c:v>0.38181444991789804</c:v>
                </c:pt>
                <c:pt idx="26">
                  <c:v>0.39708702791461398</c:v>
                </c:pt>
                <c:pt idx="27">
                  <c:v>0.41235960591132992</c:v>
                </c:pt>
                <c:pt idx="28">
                  <c:v>0.42763218390804586</c:v>
                </c:pt>
                <c:pt idx="29">
                  <c:v>0.44290476190476169</c:v>
                </c:pt>
                <c:pt idx="30">
                  <c:v>0.45817733990147769</c:v>
                </c:pt>
                <c:pt idx="31">
                  <c:v>0.47344991789819363</c:v>
                </c:pt>
                <c:pt idx="32">
                  <c:v>0.48872249589490946</c:v>
                </c:pt>
                <c:pt idx="33">
                  <c:v>0.50399507389162546</c:v>
                </c:pt>
                <c:pt idx="34">
                  <c:v>0.51926765188834134</c:v>
                </c:pt>
                <c:pt idx="35">
                  <c:v>0.53454022988505723</c:v>
                </c:pt>
                <c:pt idx="36">
                  <c:v>0.54981280788177322</c:v>
                </c:pt>
                <c:pt idx="37">
                  <c:v>0.53253458228764616</c:v>
                </c:pt>
                <c:pt idx="38">
                  <c:v>0.5670995670995671</c:v>
                </c:pt>
                <c:pt idx="39">
                  <c:v>0.56709956709956699</c:v>
                </c:pt>
                <c:pt idx="40">
                  <c:v>0.56709956709956721</c:v>
                </c:pt>
                <c:pt idx="41">
                  <c:v>0.56709956709956721</c:v>
                </c:pt>
                <c:pt idx="42">
                  <c:v>0.5670995670995671</c:v>
                </c:pt>
                <c:pt idx="43">
                  <c:v>0.56709956709956699</c:v>
                </c:pt>
                <c:pt idx="44">
                  <c:v>0.5670995670995671</c:v>
                </c:pt>
                <c:pt idx="45">
                  <c:v>0.5670995670995671</c:v>
                </c:pt>
                <c:pt idx="46">
                  <c:v>0.5670995670995671</c:v>
                </c:pt>
                <c:pt idx="47">
                  <c:v>0.5670995670995671</c:v>
                </c:pt>
                <c:pt idx="48">
                  <c:v>0.56709956709956721</c:v>
                </c:pt>
                <c:pt idx="49">
                  <c:v>0.5670995670995671</c:v>
                </c:pt>
                <c:pt idx="50">
                  <c:v>0.5670995670995671</c:v>
                </c:pt>
                <c:pt idx="51">
                  <c:v>0.5670995670995671</c:v>
                </c:pt>
                <c:pt idx="52">
                  <c:v>0.5670995670995671</c:v>
                </c:pt>
                <c:pt idx="53">
                  <c:v>0.5670995670995671</c:v>
                </c:pt>
                <c:pt idx="54">
                  <c:v>0.5670995670995671</c:v>
                </c:pt>
                <c:pt idx="55">
                  <c:v>0.56709956709956699</c:v>
                </c:pt>
                <c:pt idx="56">
                  <c:v>0.5670995670995671</c:v>
                </c:pt>
                <c:pt idx="57">
                  <c:v>0.56709956709956699</c:v>
                </c:pt>
                <c:pt idx="58">
                  <c:v>0.5670995670995671</c:v>
                </c:pt>
                <c:pt idx="59">
                  <c:v>0.5670995670995671</c:v>
                </c:pt>
                <c:pt idx="60">
                  <c:v>0.5670995670995671</c:v>
                </c:pt>
                <c:pt idx="61">
                  <c:v>0.56709956709956721</c:v>
                </c:pt>
                <c:pt idx="62">
                  <c:v>0.5670995670995671</c:v>
                </c:pt>
                <c:pt idx="63">
                  <c:v>0.5670995670995671</c:v>
                </c:pt>
                <c:pt idx="64">
                  <c:v>0.56709956709956721</c:v>
                </c:pt>
                <c:pt idx="65">
                  <c:v>0.5670995670995671</c:v>
                </c:pt>
                <c:pt idx="66">
                  <c:v>0.5670995670995671</c:v>
                </c:pt>
                <c:pt idx="67">
                  <c:v>0.56709956709956721</c:v>
                </c:pt>
                <c:pt idx="68">
                  <c:v>0.5670995670995671</c:v>
                </c:pt>
                <c:pt idx="69">
                  <c:v>0.5670995670995671</c:v>
                </c:pt>
                <c:pt idx="70">
                  <c:v>0.5670995670995671</c:v>
                </c:pt>
                <c:pt idx="71">
                  <c:v>0.56709956709956699</c:v>
                </c:pt>
                <c:pt idx="72">
                  <c:v>0.5670995670995671</c:v>
                </c:pt>
                <c:pt idx="73">
                  <c:v>0.56709956709956699</c:v>
                </c:pt>
                <c:pt idx="74">
                  <c:v>0.5670995670995671</c:v>
                </c:pt>
                <c:pt idx="75">
                  <c:v>0.56709956709956699</c:v>
                </c:pt>
                <c:pt idx="76">
                  <c:v>0.5670995670995671</c:v>
                </c:pt>
                <c:pt idx="77">
                  <c:v>0.5670995670995671</c:v>
                </c:pt>
                <c:pt idx="78">
                  <c:v>0.56709956709956699</c:v>
                </c:pt>
                <c:pt idx="79">
                  <c:v>0.5670995670995671</c:v>
                </c:pt>
                <c:pt idx="80">
                  <c:v>0.56709956709956721</c:v>
                </c:pt>
                <c:pt idx="81">
                  <c:v>0.5670995670995671</c:v>
                </c:pt>
                <c:pt idx="82">
                  <c:v>0.56709956709956721</c:v>
                </c:pt>
                <c:pt idx="83">
                  <c:v>0.56709956709956699</c:v>
                </c:pt>
                <c:pt idx="84">
                  <c:v>0.5670995670995671</c:v>
                </c:pt>
                <c:pt idx="85">
                  <c:v>0.5670995670995671</c:v>
                </c:pt>
                <c:pt idx="86">
                  <c:v>0.56709956709956699</c:v>
                </c:pt>
                <c:pt idx="87">
                  <c:v>0.56709956709956721</c:v>
                </c:pt>
                <c:pt idx="88">
                  <c:v>0.5670995670995671</c:v>
                </c:pt>
                <c:pt idx="89">
                  <c:v>0.56709956709956699</c:v>
                </c:pt>
                <c:pt idx="90">
                  <c:v>0.5670995670995671</c:v>
                </c:pt>
                <c:pt idx="91">
                  <c:v>0.56709956709956699</c:v>
                </c:pt>
                <c:pt idx="92">
                  <c:v>0.5670995670995671</c:v>
                </c:pt>
                <c:pt idx="93">
                  <c:v>0.56709956709956699</c:v>
                </c:pt>
                <c:pt idx="94">
                  <c:v>0.5670995670995671</c:v>
                </c:pt>
                <c:pt idx="95">
                  <c:v>0.56709956709956721</c:v>
                </c:pt>
                <c:pt idx="96">
                  <c:v>0.56709956709956721</c:v>
                </c:pt>
                <c:pt idx="97">
                  <c:v>0.5670995670995671</c:v>
                </c:pt>
                <c:pt idx="98">
                  <c:v>0.5670995670995671</c:v>
                </c:pt>
                <c:pt idx="99">
                  <c:v>0.56709956709956699</c:v>
                </c:pt>
                <c:pt idx="100">
                  <c:v>0.5670995670995671</c:v>
                </c:pt>
              </c:numCache>
            </c:numRef>
          </c:val>
          <c:smooth val="0"/>
          <c:extLst>
            <c:ext xmlns:c16="http://schemas.microsoft.com/office/drawing/2014/chart" uri="{C3380CC4-5D6E-409C-BE32-E72D297353CC}">
              <c16:uniqueId val="{00000010-9918-4527-AE5B-EEC5F492B8B8}"/>
            </c:ext>
          </c:extLst>
        </c:ser>
        <c:ser>
          <c:idx val="8"/>
          <c:order val="8"/>
          <c:spPr>
            <a:ln w="25400">
              <a:solidFill>
                <a:srgbClr val="FF0000"/>
              </a:solidFill>
            </a:ln>
          </c:spPr>
          <c:marker>
            <c:symbol val="none"/>
          </c:marker>
          <c:val>
            <c:numRef>
              <c:f>'Calculations - Dual'!$AU$216:$AU$316</c:f>
              <c:numCache>
                <c:formatCode>0.000</c:formatCode>
                <c:ptCount val="101"/>
                <c:pt idx="0">
                  <c:v>3.1900000000000001E-3</c:v>
                </c:pt>
                <c:pt idx="1">
                  <c:v>3.1900000000000001E-3</c:v>
                </c:pt>
                <c:pt idx="2">
                  <c:v>6.1090311986863695E-3</c:v>
                </c:pt>
                <c:pt idx="3">
                  <c:v>9.163546798029552E-3</c:v>
                </c:pt>
                <c:pt idx="4">
                  <c:v>1.2218062397372739E-2</c:v>
                </c:pt>
                <c:pt idx="5">
                  <c:v>1.5272577996715928E-2</c:v>
                </c:pt>
                <c:pt idx="6">
                  <c:v>1.8327093596059104E-2</c:v>
                </c:pt>
                <c:pt idx="7">
                  <c:v>2.1381609195402298E-2</c:v>
                </c:pt>
                <c:pt idx="8">
                  <c:v>2.4436124794745478E-2</c:v>
                </c:pt>
                <c:pt idx="9">
                  <c:v>2.7490640394088665E-2</c:v>
                </c:pt>
                <c:pt idx="10">
                  <c:v>3.0545155993431855E-2</c:v>
                </c:pt>
                <c:pt idx="11">
                  <c:v>3.3599671592775035E-2</c:v>
                </c:pt>
                <c:pt idx="12">
                  <c:v>3.6654187192118208E-2</c:v>
                </c:pt>
                <c:pt idx="13">
                  <c:v>3.9708702791461409E-2</c:v>
                </c:pt>
                <c:pt idx="14">
                  <c:v>4.2763218390804596E-2</c:v>
                </c:pt>
                <c:pt idx="15">
                  <c:v>4.5817733990147776E-2</c:v>
                </c:pt>
                <c:pt idx="16">
                  <c:v>4.8872249589490956E-2</c:v>
                </c:pt>
                <c:pt idx="17">
                  <c:v>5.1926765188834142E-2</c:v>
                </c:pt>
                <c:pt idx="18">
                  <c:v>5.4981280788177329E-2</c:v>
                </c:pt>
                <c:pt idx="19">
                  <c:v>5.8035796387520516E-2</c:v>
                </c:pt>
                <c:pt idx="20">
                  <c:v>6.109031198686371E-2</c:v>
                </c:pt>
                <c:pt idx="21">
                  <c:v>6.414482758620689E-2</c:v>
                </c:pt>
                <c:pt idx="22">
                  <c:v>6.719934318555007E-2</c:v>
                </c:pt>
                <c:pt idx="23">
                  <c:v>7.025385878489325E-2</c:v>
                </c:pt>
                <c:pt idx="24">
                  <c:v>7.3308374384236416E-2</c:v>
                </c:pt>
                <c:pt idx="25">
                  <c:v>7.6362889983579624E-2</c:v>
                </c:pt>
                <c:pt idx="26">
                  <c:v>7.9417405582922818E-2</c:v>
                </c:pt>
                <c:pt idx="27">
                  <c:v>8.2471921182265998E-2</c:v>
                </c:pt>
                <c:pt idx="28">
                  <c:v>8.5526436781609191E-2</c:v>
                </c:pt>
                <c:pt idx="29">
                  <c:v>8.8580952380952357E-2</c:v>
                </c:pt>
                <c:pt idx="30">
                  <c:v>9.1635467980295551E-2</c:v>
                </c:pt>
                <c:pt idx="31">
                  <c:v>9.4689983579638745E-2</c:v>
                </c:pt>
                <c:pt idx="32">
                  <c:v>9.7744499178981911E-2</c:v>
                </c:pt>
                <c:pt idx="33">
                  <c:v>0.10079901477832511</c:v>
                </c:pt>
                <c:pt idx="34">
                  <c:v>0.10385353037766828</c:v>
                </c:pt>
                <c:pt idx="35">
                  <c:v>0.10690804597701145</c:v>
                </c:pt>
                <c:pt idx="36">
                  <c:v>0.10996256157635466</c:v>
                </c:pt>
                <c:pt idx="37">
                  <c:v>0.11165</c:v>
                </c:pt>
                <c:pt idx="38">
                  <c:v>0.11165</c:v>
                </c:pt>
                <c:pt idx="39">
                  <c:v>0.11310517229552328</c:v>
                </c:pt>
                <c:pt idx="40">
                  <c:v>0.11454606060445728</c:v>
                </c:pt>
                <c:pt idx="41">
                  <c:v>0.11596904759460601</c:v>
                </c:pt>
                <c:pt idx="42">
                  <c:v>0.11737478434484983</c:v>
                </c:pt>
                <c:pt idx="43">
                  <c:v>0.11876388339895257</c:v>
                </c:pt>
                <c:pt idx="44">
                  <c:v>0.12013692188498924</c:v>
                </c:pt>
                <c:pt idx="45">
                  <c:v>0.12149444431742548</c:v>
                </c:pt>
                <c:pt idx="46">
                  <c:v>0.12283696512043923</c:v>
                </c:pt>
                <c:pt idx="47">
                  <c:v>0.12416497090564631</c:v>
                </c:pt>
                <c:pt idx="48">
                  <c:v>0.12547892253283019</c:v>
                </c:pt>
                <c:pt idx="49">
                  <c:v>0.12677925697841902</c:v>
                </c:pt>
                <c:pt idx="50">
                  <c:v>0.12806638903318857</c:v>
                </c:pt>
                <c:pt idx="51">
                  <c:v>0.1293407128478887</c:v>
                </c:pt>
                <c:pt idx="52">
                  <c:v>0.13060260334311871</c:v>
                </c:pt>
                <c:pt idx="53">
                  <c:v>0.13185241749774634</c:v>
                </c:pt>
                <c:pt idx="54">
                  <c:v>0.13309049552841859</c:v>
                </c:pt>
                <c:pt idx="55">
                  <c:v>0.13431716197120902</c:v>
                </c:pt>
                <c:pt idx="56">
                  <c:v>0.13553272667514663</c:v>
                </c:pt>
                <c:pt idx="57">
                  <c:v>0.13673748571624389</c:v>
                </c:pt>
                <c:pt idx="58">
                  <c:v>0.13793172223966466</c:v>
                </c:pt>
                <c:pt idx="59">
                  <c:v>0.13911570723681779</c:v>
                </c:pt>
                <c:pt idx="60">
                  <c:v>0.14028970026341919</c:v>
                </c:pt>
                <c:pt idx="61">
                  <c:v>0.1414539501039119</c:v>
                </c:pt>
                <c:pt idx="62">
                  <c:v>0.14260869538706256</c:v>
                </c:pt>
                <c:pt idx="63">
                  <c:v>0.14375416515704859</c:v>
                </c:pt>
                <c:pt idx="64">
                  <c:v>0.14489057940390743</c:v>
                </c:pt>
                <c:pt idx="65">
                  <c:v>0.14601814955682738</c:v>
                </c:pt>
                <c:pt idx="66">
                  <c:v>0.14713707894341249</c:v>
                </c:pt>
                <c:pt idx="67">
                  <c:v>0.14824756321774737</c:v>
                </c:pt>
                <c:pt idx="68">
                  <c:v>0.14934979075981328</c:v>
                </c:pt>
                <c:pt idx="69">
                  <c:v>0.15044394304856543</c:v>
                </c:pt>
                <c:pt idx="70">
                  <c:v>0.15153019501076345</c:v>
                </c:pt>
                <c:pt idx="71">
                  <c:v>0.15260871534745321</c:v>
                </c:pt>
                <c:pt idx="72">
                  <c:v>0.15367966683982626</c:v>
                </c:pt>
                <c:pt idx="73">
                  <c:v>0.1547432066360265</c:v>
                </c:pt>
                <c:pt idx="74">
                  <c:v>0.15579948652033485</c:v>
                </c:pt>
                <c:pt idx="75">
                  <c:v>0.15684865316603774</c:v>
                </c:pt>
                <c:pt idx="76">
                  <c:v>0.15789084837317208</c:v>
                </c:pt>
                <c:pt idx="77">
                  <c:v>0.15892620929223725</c:v>
                </c:pt>
                <c:pt idx="78">
                  <c:v>0.15995486863487463</c:v>
                </c:pt>
                <c:pt idx="79">
                  <c:v>0.16097695487242888</c:v>
                </c:pt>
                <c:pt idx="80">
                  <c:v>0.16199259242323399</c:v>
                </c:pt>
                <c:pt idx="81">
                  <c:v>0.16300190182939586</c:v>
                </c:pt>
                <c:pt idx="82">
                  <c:v>0.16400499992378284</c:v>
                </c:pt>
                <c:pt idx="83">
                  <c:v>0.16500199998787893</c:v>
                </c:pt>
                <c:pt idx="84">
                  <c:v>0.16599301190110383</c:v>
                </c:pt>
                <c:pt idx="85">
                  <c:v>0.16697814228215624</c:v>
                </c:pt>
                <c:pt idx="86">
                  <c:v>0.16795749462289561</c:v>
                </c:pt>
                <c:pt idx="87">
                  <c:v>0.1689311694152385</c:v>
                </c:pt>
                <c:pt idx="88">
                  <c:v>0.16989926427150887</c:v>
                </c:pt>
                <c:pt idx="89">
                  <c:v>0.17086187403865147</c:v>
                </c:pt>
                <c:pt idx="90">
                  <c:v>0.17181909090668593</c:v>
                </c:pt>
                <c:pt idx="91">
                  <c:v>0.17277100451175248</c:v>
                </c:pt>
                <c:pt idx="92">
                  <c:v>0.17371770203407594</c:v>
                </c:pt>
                <c:pt idx="93">
                  <c:v>0.17465926829115025</c:v>
                </c:pt>
                <c:pt idx="94">
                  <c:v>0.17559578582642577</c:v>
                </c:pt>
                <c:pt idx="95">
                  <c:v>0.17652733499376236</c:v>
                </c:pt>
                <c:pt idx="96">
                  <c:v>0.17745399403789142</c:v>
                </c:pt>
                <c:pt idx="97">
                  <c:v>0.17837583917111643</c:v>
                </c:pt>
                <c:pt idx="98">
                  <c:v>0.17929294464646398</c:v>
                </c:pt>
                <c:pt idx="99">
                  <c:v>0.18020538282748383</c:v>
                </c:pt>
                <c:pt idx="100">
                  <c:v>0.18111322425488424</c:v>
                </c:pt>
              </c:numCache>
            </c:numRef>
          </c:val>
          <c:smooth val="0"/>
          <c:extLst>
            <c:ext xmlns:c16="http://schemas.microsoft.com/office/drawing/2014/chart" uri="{C3380CC4-5D6E-409C-BE32-E72D297353CC}">
              <c16:uniqueId val="{00000011-9918-4527-AE5B-EEC5F492B8B8}"/>
            </c:ext>
          </c:extLst>
        </c:ser>
        <c:dLbls>
          <c:showLegendKey val="0"/>
          <c:showVal val="0"/>
          <c:showCatName val="0"/>
          <c:showSerName val="0"/>
          <c:showPercent val="0"/>
          <c:showBubbleSize val="0"/>
        </c:dLbls>
        <c:marker val="1"/>
        <c:smooth val="0"/>
        <c:axId val="143325440"/>
        <c:axId val="143323520"/>
      </c:lineChart>
      <c:catAx>
        <c:axId val="143315328"/>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cs-CZ"/>
          </a:p>
        </c:txPr>
        <c:crossAx val="143317248"/>
        <c:crosses val="autoZero"/>
        <c:auto val="1"/>
        <c:lblAlgn val="ctr"/>
        <c:lblOffset val="100"/>
        <c:tickLblSkip val="20"/>
        <c:tickMarkSkip val="10"/>
        <c:noMultiLvlLbl val="0"/>
      </c:catAx>
      <c:valAx>
        <c:axId val="143317248"/>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cs-CZ"/>
          </a:p>
        </c:txPr>
        <c:crossAx val="143315328"/>
        <c:crossesAt val="0"/>
        <c:crossBetween val="between"/>
        <c:majorUnit val="50"/>
        <c:minorUnit val="25"/>
      </c:valAx>
      <c:valAx>
        <c:axId val="143323520"/>
        <c:scaling>
          <c:orientation val="minMax"/>
          <c:max val="0.60000000000000009"/>
        </c:scaling>
        <c:delete val="0"/>
        <c:axPos val="r"/>
        <c:title>
          <c:tx>
            <c:rich>
              <a:bodyPr rot="-5400000" vert="horz"/>
              <a:lstStyle/>
              <a:p>
                <a:pPr>
                  <a:defRPr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sz="1400" b="1"/>
            </a:pPr>
            <a:endParaRPr lang="cs-CZ"/>
          </a:p>
        </c:txPr>
        <c:crossAx val="143325440"/>
        <c:crosses val="max"/>
        <c:crossBetween val="between"/>
        <c:majorUnit val="0.1"/>
        <c:minorUnit val="5.000000000000001E-2"/>
      </c:valAx>
      <c:catAx>
        <c:axId val="143325440"/>
        <c:scaling>
          <c:orientation val="minMax"/>
        </c:scaling>
        <c:delete val="1"/>
        <c:axPos val="b"/>
        <c:majorTickMark val="out"/>
        <c:minorTickMark val="none"/>
        <c:tickLblPos val="nextTo"/>
        <c:crossAx val="143323520"/>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cs-CZ"/>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cs-CZ"/>
    </a:p>
  </c:txPr>
  <c:printSettings>
    <c:headerFooter alignWithMargins="0"/>
    <c:pageMargins b="1" l="0.750000000000006" r="0.750000000000006" t="1" header="0.5" footer="0.5"/>
    <c:pageSetup paperSize="5"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0.28999999999999998</c:v>
                </c:pt>
                <c:pt idx="1">
                  <c:v>0.28999999999999998</c:v>
                </c:pt>
                <c:pt idx="2">
                  <c:v>0.28999999999999998</c:v>
                </c:pt>
                <c:pt idx="3">
                  <c:v>0.28999999999999998</c:v>
                </c:pt>
                <c:pt idx="4">
                  <c:v>0.28999999999999998</c:v>
                </c:pt>
                <c:pt idx="5">
                  <c:v>0.28999999999999998</c:v>
                </c:pt>
                <c:pt idx="6">
                  <c:v>0.28999999999999998</c:v>
                </c:pt>
                <c:pt idx="7">
                  <c:v>0.28999999999999998</c:v>
                </c:pt>
                <c:pt idx="8">
                  <c:v>0.28999999999999998</c:v>
                </c:pt>
                <c:pt idx="9">
                  <c:v>0.28999999999999998</c:v>
                </c:pt>
                <c:pt idx="10">
                  <c:v>0.28999999999999998</c:v>
                </c:pt>
                <c:pt idx="11">
                  <c:v>0.28999999999999998</c:v>
                </c:pt>
                <c:pt idx="12">
                  <c:v>0.28999999999999998</c:v>
                </c:pt>
                <c:pt idx="13">
                  <c:v>0.28999999999999998</c:v>
                </c:pt>
                <c:pt idx="14">
                  <c:v>0.28999999999999998</c:v>
                </c:pt>
                <c:pt idx="15">
                  <c:v>0.28999999999999998</c:v>
                </c:pt>
                <c:pt idx="16">
                  <c:v>0.28999999999999998</c:v>
                </c:pt>
                <c:pt idx="17">
                  <c:v>0.28999999999999998</c:v>
                </c:pt>
                <c:pt idx="18">
                  <c:v>0.28999999999999998</c:v>
                </c:pt>
                <c:pt idx="19">
                  <c:v>0.28999999999999998</c:v>
                </c:pt>
                <c:pt idx="20">
                  <c:v>0.28999999999999998</c:v>
                </c:pt>
                <c:pt idx="21">
                  <c:v>0.28999999999999998</c:v>
                </c:pt>
                <c:pt idx="22">
                  <c:v>0.28999999999999998</c:v>
                </c:pt>
                <c:pt idx="23">
                  <c:v>0.28999999999999998</c:v>
                </c:pt>
                <c:pt idx="24">
                  <c:v>0.28999999999999998</c:v>
                </c:pt>
                <c:pt idx="25">
                  <c:v>0.28999999999999998</c:v>
                </c:pt>
                <c:pt idx="26">
                  <c:v>0.28999999999999998</c:v>
                </c:pt>
                <c:pt idx="27">
                  <c:v>0.28999999999999998</c:v>
                </c:pt>
                <c:pt idx="28">
                  <c:v>0.28999999999999998</c:v>
                </c:pt>
                <c:pt idx="29">
                  <c:v>0.28999999999999998</c:v>
                </c:pt>
                <c:pt idx="30">
                  <c:v>0.28999999999999998</c:v>
                </c:pt>
                <c:pt idx="31">
                  <c:v>0.28999999999999998</c:v>
                </c:pt>
                <c:pt idx="32">
                  <c:v>0.28999999999999998</c:v>
                </c:pt>
                <c:pt idx="33">
                  <c:v>0.28999999999999998</c:v>
                </c:pt>
                <c:pt idx="34">
                  <c:v>0.28999999999999998</c:v>
                </c:pt>
                <c:pt idx="35">
                  <c:v>0.28999999999999998</c:v>
                </c:pt>
                <c:pt idx="36">
                  <c:v>0.28999999999999998</c:v>
                </c:pt>
                <c:pt idx="37">
                  <c:v>0.28999999999999998</c:v>
                </c:pt>
                <c:pt idx="38">
                  <c:v>0.31716946564885501</c:v>
                </c:pt>
                <c:pt idx="39">
                  <c:v>0.32551603053435119</c:v>
                </c:pt>
                <c:pt idx="40">
                  <c:v>0.33386259541984736</c:v>
                </c:pt>
                <c:pt idx="41">
                  <c:v>0.34220916030534348</c:v>
                </c:pt>
                <c:pt idx="42">
                  <c:v>0.35055572519083972</c:v>
                </c:pt>
                <c:pt idx="43">
                  <c:v>0.35890229007633589</c:v>
                </c:pt>
                <c:pt idx="44">
                  <c:v>0.36724885496183207</c:v>
                </c:pt>
                <c:pt idx="45">
                  <c:v>0.3755954198473283</c:v>
                </c:pt>
                <c:pt idx="46">
                  <c:v>0.38394198473282448</c:v>
                </c:pt>
                <c:pt idx="47">
                  <c:v>0.39228854961832055</c:v>
                </c:pt>
                <c:pt idx="48">
                  <c:v>0.40063511450381678</c:v>
                </c:pt>
                <c:pt idx="49">
                  <c:v>0.40898167938931301</c:v>
                </c:pt>
                <c:pt idx="50">
                  <c:v>0.41732824427480913</c:v>
                </c:pt>
                <c:pt idx="51">
                  <c:v>0.42567480916030537</c:v>
                </c:pt>
                <c:pt idx="52">
                  <c:v>0.4340213740458016</c:v>
                </c:pt>
                <c:pt idx="53">
                  <c:v>0.44236793893129772</c:v>
                </c:pt>
                <c:pt idx="54">
                  <c:v>0.45071450381679395</c:v>
                </c:pt>
                <c:pt idx="55">
                  <c:v>0.45906106870229008</c:v>
                </c:pt>
                <c:pt idx="56">
                  <c:v>0.46740763358778631</c:v>
                </c:pt>
                <c:pt idx="57">
                  <c:v>0.47575419847328243</c:v>
                </c:pt>
                <c:pt idx="58">
                  <c:v>0.48410076335877855</c:v>
                </c:pt>
                <c:pt idx="59">
                  <c:v>0.49244732824427478</c:v>
                </c:pt>
                <c:pt idx="60">
                  <c:v>0.50079389312977096</c:v>
                </c:pt>
                <c:pt idx="61">
                  <c:v>0.50914045801526719</c:v>
                </c:pt>
                <c:pt idx="62">
                  <c:v>0.51748702290076332</c:v>
                </c:pt>
                <c:pt idx="63">
                  <c:v>0.52583358778625955</c:v>
                </c:pt>
                <c:pt idx="64">
                  <c:v>0.53418015267175567</c:v>
                </c:pt>
                <c:pt idx="65">
                  <c:v>0.5425267175572519</c:v>
                </c:pt>
                <c:pt idx="66">
                  <c:v>0.55087328244274802</c:v>
                </c:pt>
                <c:pt idx="67">
                  <c:v>0.55921984732824437</c:v>
                </c:pt>
                <c:pt idx="68">
                  <c:v>0.56756641221374038</c:v>
                </c:pt>
                <c:pt idx="69">
                  <c:v>0.5759129770992365</c:v>
                </c:pt>
                <c:pt idx="70">
                  <c:v>0.58425954198473273</c:v>
                </c:pt>
                <c:pt idx="71">
                  <c:v>0.59260610687022885</c:v>
                </c:pt>
                <c:pt idx="72">
                  <c:v>0.60095267175572509</c:v>
                </c:pt>
                <c:pt idx="73">
                  <c:v>0.60929923664122132</c:v>
                </c:pt>
                <c:pt idx="74">
                  <c:v>0.61764580152671744</c:v>
                </c:pt>
                <c:pt idx="75">
                  <c:v>0.62599236641221379</c:v>
                </c:pt>
                <c:pt idx="76">
                  <c:v>0.63433893129771002</c:v>
                </c:pt>
                <c:pt idx="77">
                  <c:v>0.64268549618320625</c:v>
                </c:pt>
                <c:pt idx="78">
                  <c:v>0.65103206106870237</c:v>
                </c:pt>
                <c:pt idx="79">
                  <c:v>0.65937862595419861</c:v>
                </c:pt>
                <c:pt idx="80">
                  <c:v>0.66772519083969473</c:v>
                </c:pt>
                <c:pt idx="81">
                  <c:v>0.67607175572519096</c:v>
                </c:pt>
                <c:pt idx="82">
                  <c:v>0.68441832061068697</c:v>
                </c:pt>
                <c:pt idx="83">
                  <c:v>0.6927648854961832</c:v>
                </c:pt>
                <c:pt idx="84">
                  <c:v>0.70111145038167944</c:v>
                </c:pt>
                <c:pt idx="85">
                  <c:v>0.70945801526717567</c:v>
                </c:pt>
                <c:pt idx="86">
                  <c:v>0.71780458015267179</c:v>
                </c:pt>
                <c:pt idx="87">
                  <c:v>0.72615114503816802</c:v>
                </c:pt>
                <c:pt idx="88">
                  <c:v>0.73449770992366414</c:v>
                </c:pt>
                <c:pt idx="89">
                  <c:v>0.74284427480916038</c:v>
                </c:pt>
                <c:pt idx="90">
                  <c:v>0.75119083969465661</c:v>
                </c:pt>
                <c:pt idx="91">
                  <c:v>0.75953740458015284</c:v>
                </c:pt>
                <c:pt idx="92">
                  <c:v>0.76788396946564896</c:v>
                </c:pt>
                <c:pt idx="93">
                  <c:v>0.7762305343511452</c:v>
                </c:pt>
                <c:pt idx="94">
                  <c:v>0.7845770992366411</c:v>
                </c:pt>
                <c:pt idx="95">
                  <c:v>0.79292366412213755</c:v>
                </c:pt>
                <c:pt idx="96">
                  <c:v>0.80127022900763356</c:v>
                </c:pt>
                <c:pt idx="97">
                  <c:v>0.80961679389312979</c:v>
                </c:pt>
                <c:pt idx="98">
                  <c:v>0.81796335877862603</c:v>
                </c:pt>
                <c:pt idx="99">
                  <c:v>0.82630992366412226</c:v>
                </c:pt>
                <c:pt idx="100">
                  <c:v>0.83465648854961827</c:v>
                </c:pt>
              </c:numCache>
            </c:numRef>
          </c:val>
          <c:smooth val="0"/>
          <c:extLst>
            <c:ext xmlns:c16="http://schemas.microsoft.com/office/drawing/2014/chart" uri="{C3380CC4-5D6E-409C-BE32-E72D297353CC}">
              <c16:uniqueId val="{00000000-2D16-41A0-B28B-A7899D540A8C}"/>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Dual'!$AI$5:$AI$105</c:f>
              <c:numCache>
                <c:formatCode>0.000</c:formatCode>
                <c:ptCount val="101"/>
                <c:pt idx="0">
                  <c:v>0.28999999999999998</c:v>
                </c:pt>
                <c:pt idx="1">
                  <c:v>0.28999999999999998</c:v>
                </c:pt>
                <c:pt idx="2">
                  <c:v>0.28999999999999998</c:v>
                </c:pt>
                <c:pt idx="3">
                  <c:v>0.28999999999999998</c:v>
                </c:pt>
                <c:pt idx="4">
                  <c:v>0.28999999999999998</c:v>
                </c:pt>
                <c:pt idx="5">
                  <c:v>0.28999999999999998</c:v>
                </c:pt>
                <c:pt idx="6">
                  <c:v>0.28999999999999998</c:v>
                </c:pt>
                <c:pt idx="7">
                  <c:v>0.28999999999999998</c:v>
                </c:pt>
                <c:pt idx="8">
                  <c:v>0.28999999999999998</c:v>
                </c:pt>
                <c:pt idx="9">
                  <c:v>0.28999999999999998</c:v>
                </c:pt>
                <c:pt idx="10">
                  <c:v>0.28999999999999998</c:v>
                </c:pt>
                <c:pt idx="11">
                  <c:v>0.28999999999999998</c:v>
                </c:pt>
                <c:pt idx="12">
                  <c:v>0.28999999999999998</c:v>
                </c:pt>
                <c:pt idx="13">
                  <c:v>0.28999999999999998</c:v>
                </c:pt>
                <c:pt idx="14">
                  <c:v>0.28999999999999998</c:v>
                </c:pt>
                <c:pt idx="15">
                  <c:v>0.28999999999999998</c:v>
                </c:pt>
                <c:pt idx="16">
                  <c:v>0.28999999999999998</c:v>
                </c:pt>
                <c:pt idx="17">
                  <c:v>0.28999999999999998</c:v>
                </c:pt>
                <c:pt idx="18">
                  <c:v>0.28999999999999998</c:v>
                </c:pt>
                <c:pt idx="19">
                  <c:v>0.28999999999999998</c:v>
                </c:pt>
                <c:pt idx="20">
                  <c:v>0.28999999999999998</c:v>
                </c:pt>
                <c:pt idx="21">
                  <c:v>0.28999999999999998</c:v>
                </c:pt>
                <c:pt idx="22">
                  <c:v>0.28999999999999998</c:v>
                </c:pt>
                <c:pt idx="23">
                  <c:v>0.28999999999999998</c:v>
                </c:pt>
                <c:pt idx="24">
                  <c:v>0.28999999999999998</c:v>
                </c:pt>
                <c:pt idx="25">
                  <c:v>0.28999999999999998</c:v>
                </c:pt>
                <c:pt idx="26">
                  <c:v>0.28999999999999998</c:v>
                </c:pt>
                <c:pt idx="27">
                  <c:v>0.28999999999999998</c:v>
                </c:pt>
                <c:pt idx="28">
                  <c:v>0.28999999999999998</c:v>
                </c:pt>
                <c:pt idx="29">
                  <c:v>0.28999999999999998</c:v>
                </c:pt>
                <c:pt idx="30">
                  <c:v>0.28999999999999998</c:v>
                </c:pt>
                <c:pt idx="31">
                  <c:v>0.28999999999999998</c:v>
                </c:pt>
                <c:pt idx="32">
                  <c:v>0.28999999999999998</c:v>
                </c:pt>
                <c:pt idx="33">
                  <c:v>0.28999999999999998</c:v>
                </c:pt>
                <c:pt idx="34">
                  <c:v>0.28999999999999998</c:v>
                </c:pt>
                <c:pt idx="35">
                  <c:v>0.28999999999999998</c:v>
                </c:pt>
                <c:pt idx="36">
                  <c:v>0.28999999999999998</c:v>
                </c:pt>
                <c:pt idx="37">
                  <c:v>0.28999999999999998</c:v>
                </c:pt>
                <c:pt idx="38">
                  <c:v>0.28999999999999998</c:v>
                </c:pt>
                <c:pt idx="39">
                  <c:v>0.29377966830006041</c:v>
                </c:pt>
                <c:pt idx="40">
                  <c:v>0.29752223533625266</c:v>
                </c:pt>
                <c:pt idx="41">
                  <c:v>0.30121830544053513</c:v>
                </c:pt>
                <c:pt idx="42">
                  <c:v>0.30486956972688262</c:v>
                </c:pt>
                <c:pt idx="43">
                  <c:v>0.30847761921805861</c:v>
                </c:pt>
                <c:pt idx="44">
                  <c:v>0.31204395294802395</c:v>
                </c:pt>
                <c:pt idx="45">
                  <c:v>0.31556998524006619</c:v>
                </c:pt>
                <c:pt idx="46">
                  <c:v>0.3190570522608811</c:v>
                </c:pt>
                <c:pt idx="47">
                  <c:v>0.32250641793674367</c:v>
                </c:pt>
                <c:pt idx="48">
                  <c:v>0.32591927930605247</c:v>
                </c:pt>
                <c:pt idx="49">
                  <c:v>0.32929677137251689</c:v>
                </c:pt>
                <c:pt idx="50">
                  <c:v>0.33263997151477548</c:v>
                </c:pt>
                <c:pt idx="51">
                  <c:v>0.33594990350100962</c:v>
                </c:pt>
                <c:pt idx="52">
                  <c:v>0.33922754115095771</c:v>
                </c:pt>
                <c:pt idx="53">
                  <c:v>0.342473811682458</c:v>
                </c:pt>
                <c:pt idx="54">
                  <c:v>0.34568959877511318</c:v>
                </c:pt>
                <c:pt idx="55">
                  <c:v>0.34887574537976374</c:v>
                </c:pt>
                <c:pt idx="56">
                  <c:v>0.35203305629908216</c:v>
                </c:pt>
                <c:pt idx="57">
                  <c:v>0.35516230056167242</c:v>
                </c:pt>
                <c:pt idx="58">
                  <c:v>0.35826421360951854</c:v>
                </c:pt>
                <c:pt idx="59">
                  <c:v>0.36133949931640985</c:v>
                </c:pt>
                <c:pt idx="60">
                  <c:v>0.36438883185303689</c:v>
                </c:pt>
                <c:pt idx="61">
                  <c:v>0.3674128574127582</c:v>
                </c:pt>
                <c:pt idx="62">
                  <c:v>0.37041219581055213</c:v>
                </c:pt>
                <c:pt idx="63">
                  <c:v>0.37338744196635998</c:v>
                </c:pt>
                <c:pt idx="64">
                  <c:v>0.37633916728287642</c:v>
                </c:pt>
                <c:pt idx="65">
                  <c:v>0.37926792092682432</c:v>
                </c:pt>
                <c:pt idx="66">
                  <c:v>0.38217423102185061</c:v>
                </c:pt>
                <c:pt idx="67">
                  <c:v>0.38505860576038276</c:v>
                </c:pt>
                <c:pt idx="68">
                  <c:v>0.38792153444107341</c:v>
                </c:pt>
                <c:pt idx="69">
                  <c:v>0.39076348843783226</c:v>
                </c:pt>
                <c:pt idx="70">
                  <c:v>0.39358492210587903</c:v>
                </c:pt>
                <c:pt idx="71">
                  <c:v>0.39638627362974854</c:v>
                </c:pt>
                <c:pt idx="72">
                  <c:v>0.39916796581773056</c:v>
                </c:pt>
                <c:pt idx="73">
                  <c:v>0.40193040684682213</c:v>
                </c:pt>
                <c:pt idx="74">
                  <c:v>0.40467399096190865</c:v>
                </c:pt>
                <c:pt idx="75">
                  <c:v>0.40739909913256556</c:v>
                </c:pt>
                <c:pt idx="76">
                  <c:v>0.41010609967057676</c:v>
                </c:pt>
                <c:pt idx="77">
                  <c:v>0.41279534881100588</c:v>
                </c:pt>
                <c:pt idx="78">
                  <c:v>0.41546719125941461</c:v>
                </c:pt>
                <c:pt idx="79">
                  <c:v>0.41812196070760749</c:v>
                </c:pt>
                <c:pt idx="80">
                  <c:v>0.42075998032008827</c:v>
                </c:pt>
                <c:pt idx="81">
                  <c:v>0.423381563193236</c:v>
                </c:pt>
                <c:pt idx="82">
                  <c:v>0.42598701278904627</c:v>
                </c:pt>
                <c:pt idx="83">
                  <c:v>0.42857662334514007</c:v>
                </c:pt>
                <c:pt idx="84">
                  <c:v>0.43115068026260739</c:v>
                </c:pt>
                <c:pt idx="85">
                  <c:v>0.47476357082273118</c:v>
                </c:pt>
                <c:pt idx="86">
                  <c:v>0.4803490245971162</c:v>
                </c:pt>
                <c:pt idx="87">
                  <c:v>0.48593447837150128</c:v>
                </c:pt>
                <c:pt idx="88">
                  <c:v>0.49151993214588635</c:v>
                </c:pt>
                <c:pt idx="89">
                  <c:v>0.49710538592027143</c:v>
                </c:pt>
                <c:pt idx="90">
                  <c:v>0.50269083969465655</c:v>
                </c:pt>
                <c:pt idx="91">
                  <c:v>0.50827629346904168</c:v>
                </c:pt>
                <c:pt idx="92">
                  <c:v>0.5138617472434267</c:v>
                </c:pt>
                <c:pt idx="93">
                  <c:v>0.51944720101781172</c:v>
                </c:pt>
                <c:pt idx="94">
                  <c:v>0.52503265479219674</c:v>
                </c:pt>
                <c:pt idx="95">
                  <c:v>0.53061810856658187</c:v>
                </c:pt>
                <c:pt idx="96">
                  <c:v>0.53620356234096689</c:v>
                </c:pt>
                <c:pt idx="97">
                  <c:v>0.54178901611535202</c:v>
                </c:pt>
                <c:pt idx="98">
                  <c:v>0.54737446988973704</c:v>
                </c:pt>
                <c:pt idx="99">
                  <c:v>0.55295992366412217</c:v>
                </c:pt>
                <c:pt idx="100">
                  <c:v>0.55854537743850718</c:v>
                </c:pt>
              </c:numCache>
            </c:numRef>
          </c:val>
          <c:smooth val="0"/>
          <c:extLst>
            <c:ext xmlns:c16="http://schemas.microsoft.com/office/drawing/2014/chart" uri="{C3380CC4-5D6E-409C-BE32-E72D297353CC}">
              <c16:uniqueId val="{00000001-2D16-41A0-B28B-A7899D540A8C}"/>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0.28999999999999998</c:v>
                </c:pt>
                <c:pt idx="1">
                  <c:v>0.28999999999999998</c:v>
                </c:pt>
                <c:pt idx="2">
                  <c:v>0.28999999999999998</c:v>
                </c:pt>
                <c:pt idx="3">
                  <c:v>0.28999999999999998</c:v>
                </c:pt>
                <c:pt idx="4">
                  <c:v>0.28999999999999998</c:v>
                </c:pt>
                <c:pt idx="5">
                  <c:v>0.28999999999999998</c:v>
                </c:pt>
                <c:pt idx="6">
                  <c:v>0.28999999999999998</c:v>
                </c:pt>
                <c:pt idx="7">
                  <c:v>0.28999999999999998</c:v>
                </c:pt>
                <c:pt idx="8">
                  <c:v>0.28999999999999998</c:v>
                </c:pt>
                <c:pt idx="9">
                  <c:v>0.28999999999999998</c:v>
                </c:pt>
                <c:pt idx="10">
                  <c:v>0.28999999999999998</c:v>
                </c:pt>
                <c:pt idx="11">
                  <c:v>0.28999999999999998</c:v>
                </c:pt>
                <c:pt idx="12">
                  <c:v>0.28999999999999998</c:v>
                </c:pt>
                <c:pt idx="13">
                  <c:v>0.28999999999999998</c:v>
                </c:pt>
                <c:pt idx="14">
                  <c:v>0.28999999999999998</c:v>
                </c:pt>
                <c:pt idx="15">
                  <c:v>0.28999999999999998</c:v>
                </c:pt>
                <c:pt idx="16">
                  <c:v>0.28999999999999998</c:v>
                </c:pt>
                <c:pt idx="17">
                  <c:v>0.28999999999999998</c:v>
                </c:pt>
                <c:pt idx="18">
                  <c:v>0.28999999999999998</c:v>
                </c:pt>
                <c:pt idx="19">
                  <c:v>0.28999999999999998</c:v>
                </c:pt>
                <c:pt idx="20">
                  <c:v>0.28999999999999998</c:v>
                </c:pt>
                <c:pt idx="21">
                  <c:v>0.28999999999999998</c:v>
                </c:pt>
                <c:pt idx="22">
                  <c:v>0.28999999999999998</c:v>
                </c:pt>
                <c:pt idx="23">
                  <c:v>0.28999999999999998</c:v>
                </c:pt>
                <c:pt idx="24">
                  <c:v>0.28999999999999998</c:v>
                </c:pt>
                <c:pt idx="25">
                  <c:v>0.28999999999999998</c:v>
                </c:pt>
                <c:pt idx="26">
                  <c:v>0.28999999999999998</c:v>
                </c:pt>
                <c:pt idx="27">
                  <c:v>0.28999999999999998</c:v>
                </c:pt>
                <c:pt idx="28">
                  <c:v>0.28999999999999998</c:v>
                </c:pt>
                <c:pt idx="29">
                  <c:v>0.28999999999999998</c:v>
                </c:pt>
                <c:pt idx="30">
                  <c:v>0.28999999999999998</c:v>
                </c:pt>
                <c:pt idx="31">
                  <c:v>0.28999999999999998</c:v>
                </c:pt>
                <c:pt idx="32">
                  <c:v>0.28999999999999998</c:v>
                </c:pt>
                <c:pt idx="33">
                  <c:v>0.28999999999999998</c:v>
                </c:pt>
                <c:pt idx="34">
                  <c:v>0.28999999999999998</c:v>
                </c:pt>
                <c:pt idx="35">
                  <c:v>0.28999999999999998</c:v>
                </c:pt>
                <c:pt idx="36">
                  <c:v>0.28999999999999998</c:v>
                </c:pt>
                <c:pt idx="37">
                  <c:v>0.28999999999999998</c:v>
                </c:pt>
                <c:pt idx="38">
                  <c:v>0.28999999999999998</c:v>
                </c:pt>
                <c:pt idx="39">
                  <c:v>0.29377966830006041</c:v>
                </c:pt>
                <c:pt idx="40">
                  <c:v>0.29752223533625266</c:v>
                </c:pt>
                <c:pt idx="41">
                  <c:v>0.30121830544053513</c:v>
                </c:pt>
                <c:pt idx="42">
                  <c:v>0.30486956972688262</c:v>
                </c:pt>
                <c:pt idx="43">
                  <c:v>0.30847761921805861</c:v>
                </c:pt>
                <c:pt idx="44">
                  <c:v>0.31204395294802395</c:v>
                </c:pt>
                <c:pt idx="45">
                  <c:v>0.31556998524006619</c:v>
                </c:pt>
                <c:pt idx="46">
                  <c:v>0.3190570522608811</c:v>
                </c:pt>
                <c:pt idx="47">
                  <c:v>0.32250641793674367</c:v>
                </c:pt>
                <c:pt idx="48">
                  <c:v>0.32591927930605247</c:v>
                </c:pt>
                <c:pt idx="49">
                  <c:v>0.32929677137251689</c:v>
                </c:pt>
                <c:pt idx="50">
                  <c:v>0.33263997151477548</c:v>
                </c:pt>
                <c:pt idx="51">
                  <c:v>0.33594990350100962</c:v>
                </c:pt>
                <c:pt idx="52">
                  <c:v>0.33922754115095771</c:v>
                </c:pt>
                <c:pt idx="53">
                  <c:v>0.342473811682458</c:v>
                </c:pt>
                <c:pt idx="54">
                  <c:v>0.34568959877511318</c:v>
                </c:pt>
                <c:pt idx="55">
                  <c:v>0.34887574537976374</c:v>
                </c:pt>
                <c:pt idx="56">
                  <c:v>0.35203305629908216</c:v>
                </c:pt>
                <c:pt idx="57">
                  <c:v>0.35516230056167242</c:v>
                </c:pt>
                <c:pt idx="58">
                  <c:v>0.35826421360951854</c:v>
                </c:pt>
                <c:pt idx="59">
                  <c:v>0.36133949931640985</c:v>
                </c:pt>
                <c:pt idx="60">
                  <c:v>0.36438883185303689</c:v>
                </c:pt>
                <c:pt idx="61">
                  <c:v>0.3674128574127582</c:v>
                </c:pt>
                <c:pt idx="62">
                  <c:v>0.37041219581055213</c:v>
                </c:pt>
                <c:pt idx="63">
                  <c:v>0.37338744196635998</c:v>
                </c:pt>
                <c:pt idx="64">
                  <c:v>0.37633916728287642</c:v>
                </c:pt>
                <c:pt idx="65">
                  <c:v>0.37926792092682432</c:v>
                </c:pt>
                <c:pt idx="66">
                  <c:v>0.38217423102185061</c:v>
                </c:pt>
                <c:pt idx="67">
                  <c:v>0.38505860576038276</c:v>
                </c:pt>
                <c:pt idx="68">
                  <c:v>0.38792153444107341</c:v>
                </c:pt>
                <c:pt idx="69">
                  <c:v>0.39076348843783226</c:v>
                </c:pt>
                <c:pt idx="70">
                  <c:v>0.39358492210587903</c:v>
                </c:pt>
                <c:pt idx="71">
                  <c:v>0.39638627362974854</c:v>
                </c:pt>
                <c:pt idx="72">
                  <c:v>0.39916796581773056</c:v>
                </c:pt>
                <c:pt idx="73">
                  <c:v>0.40193040684682213</c:v>
                </c:pt>
                <c:pt idx="74">
                  <c:v>0.40467399096190865</c:v>
                </c:pt>
                <c:pt idx="75">
                  <c:v>0.40739909913256556</c:v>
                </c:pt>
                <c:pt idx="76">
                  <c:v>0.41010609967057676</c:v>
                </c:pt>
                <c:pt idx="77">
                  <c:v>0.41279534881100588</c:v>
                </c:pt>
                <c:pt idx="78">
                  <c:v>0.41546719125941461</c:v>
                </c:pt>
                <c:pt idx="79">
                  <c:v>0.41812196070760749</c:v>
                </c:pt>
                <c:pt idx="80">
                  <c:v>0.42075998032008827</c:v>
                </c:pt>
                <c:pt idx="81">
                  <c:v>0.423381563193236</c:v>
                </c:pt>
                <c:pt idx="82">
                  <c:v>0.42598701278904627</c:v>
                </c:pt>
                <c:pt idx="83">
                  <c:v>0.42857662334514007</c:v>
                </c:pt>
                <c:pt idx="84">
                  <c:v>0.43115068026260739</c:v>
                </c:pt>
                <c:pt idx="85">
                  <c:v>0.43370946047313302</c:v>
                </c:pt>
                <c:pt idx="86">
                  <c:v>0.43625323278674183</c:v>
                </c:pt>
                <c:pt idx="87">
                  <c:v>0.43878225822139866</c:v>
                </c:pt>
                <c:pt idx="88">
                  <c:v>0.44129679031560742</c:v>
                </c:pt>
                <c:pt idx="89">
                  <c:v>0.44379707542506874</c:v>
                </c:pt>
                <c:pt idx="90">
                  <c:v>0.44628335300437905</c:v>
                </c:pt>
                <c:pt idx="91">
                  <c:v>0.44875585587468186</c:v>
                </c:pt>
                <c:pt idx="92">
                  <c:v>0.4512148104781194</c:v>
                </c:pt>
                <c:pt idx="93">
                  <c:v>0.45366043711987081</c:v>
                </c:pt>
                <c:pt idx="94">
                  <c:v>0.45609295019850854</c:v>
                </c:pt>
                <c:pt idx="95">
                  <c:v>0.45851255842535682</c:v>
                </c:pt>
                <c:pt idx="96">
                  <c:v>0.46091946503348419</c:v>
                </c:pt>
                <c:pt idx="97">
                  <c:v>0.46331386797692586</c:v>
                </c:pt>
                <c:pt idx="98">
                  <c:v>0.4656959601206857</c:v>
                </c:pt>
                <c:pt idx="99">
                  <c:v>0.4680659294220359</c:v>
                </c:pt>
                <c:pt idx="100">
                  <c:v>0.47042395910359552</c:v>
                </c:pt>
              </c:numCache>
            </c:numRef>
          </c:val>
          <c:smooth val="0"/>
          <c:extLst>
            <c:ext xmlns:c16="http://schemas.microsoft.com/office/drawing/2014/chart" uri="{C3380CC4-5D6E-409C-BE32-E72D297353CC}">
              <c16:uniqueId val="{00000002-2D16-41A0-B28B-A7899D540A8C}"/>
            </c:ext>
          </c:extLst>
        </c:ser>
        <c:dLbls>
          <c:showLegendKey val="0"/>
          <c:showVal val="0"/>
          <c:showCatName val="0"/>
          <c:showSerName val="0"/>
          <c:showPercent val="0"/>
          <c:showBubbleSize val="0"/>
        </c:dLbls>
        <c:smooth val="0"/>
        <c:axId val="143370112"/>
        <c:axId val="143376384"/>
      </c:lineChart>
      <c:catAx>
        <c:axId val="1433701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cs-CZ"/>
          </a:p>
        </c:txPr>
        <c:crossAx val="143376384"/>
        <c:crosses val="autoZero"/>
        <c:auto val="1"/>
        <c:lblAlgn val="ctr"/>
        <c:lblOffset val="100"/>
        <c:tickLblSkip val="20"/>
        <c:tickMarkSkip val="10"/>
        <c:noMultiLvlLbl val="0"/>
      </c:catAx>
      <c:valAx>
        <c:axId val="143376384"/>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cs-CZ"/>
          </a:p>
        </c:txPr>
        <c:crossAx val="143370112"/>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cs-CZ"/>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cs-CZ"/>
    </a:p>
  </c:txPr>
  <c:printSettings>
    <c:headerFooter alignWithMargins="0"/>
    <c:pageMargins b="1" l="0.750000000000006" r="0.750000000000006" t="1" header="0.5" footer="0.5"/>
    <c:pageSetup paperSize="5"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1.0057142857142858</c:v>
                </c:pt>
                <c:pt idx="2">
                  <c:v>1.0109431817262631</c:v>
                </c:pt>
                <c:pt idx="3">
                  <c:v>1.0164147725893946</c:v>
                </c:pt>
                <c:pt idx="4">
                  <c:v>1.0218863634525261</c:v>
                </c:pt>
                <c:pt idx="5">
                  <c:v>1.0273579543156577</c:v>
                </c:pt>
                <c:pt idx="6">
                  <c:v>1.0328295451787892</c:v>
                </c:pt>
                <c:pt idx="7">
                  <c:v>1.0383011360419208</c:v>
                </c:pt>
                <c:pt idx="8">
                  <c:v>1.0437727269050523</c:v>
                </c:pt>
                <c:pt idx="9">
                  <c:v>1.0492443177681838</c:v>
                </c:pt>
                <c:pt idx="10">
                  <c:v>1.0547159086313154</c:v>
                </c:pt>
                <c:pt idx="11">
                  <c:v>1.0601874994944469</c:v>
                </c:pt>
                <c:pt idx="12">
                  <c:v>1.0656590903575784</c:v>
                </c:pt>
                <c:pt idx="13">
                  <c:v>1.0711306812207102</c:v>
                </c:pt>
                <c:pt idx="14">
                  <c:v>1.0766022720838417</c:v>
                </c:pt>
                <c:pt idx="15">
                  <c:v>1.0820738629469733</c:v>
                </c:pt>
                <c:pt idx="16">
                  <c:v>1.0875454538101048</c:v>
                </c:pt>
                <c:pt idx="17">
                  <c:v>1.0930170446732363</c:v>
                </c:pt>
                <c:pt idx="18">
                  <c:v>1.0984886355363679</c:v>
                </c:pt>
                <c:pt idx="19">
                  <c:v>1.1039602263994994</c:v>
                </c:pt>
                <c:pt idx="20">
                  <c:v>1.109431817262631</c:v>
                </c:pt>
                <c:pt idx="21">
                  <c:v>1.1149034081257625</c:v>
                </c:pt>
                <c:pt idx="22">
                  <c:v>1.120374998988894</c:v>
                </c:pt>
                <c:pt idx="23">
                  <c:v>1.1258465898520256</c:v>
                </c:pt>
                <c:pt idx="24">
                  <c:v>1.1313181807151571</c:v>
                </c:pt>
                <c:pt idx="25">
                  <c:v>1.1367897715782886</c:v>
                </c:pt>
                <c:pt idx="26">
                  <c:v>1.1422613624414202</c:v>
                </c:pt>
                <c:pt idx="27">
                  <c:v>1.1477329533045517</c:v>
                </c:pt>
                <c:pt idx="28">
                  <c:v>1.1532045441676833</c:v>
                </c:pt>
                <c:pt idx="29">
                  <c:v>1.1586761350308148</c:v>
                </c:pt>
                <c:pt idx="30">
                  <c:v>1.1641477258939463</c:v>
                </c:pt>
                <c:pt idx="31">
                  <c:v>1.1696193167570779</c:v>
                </c:pt>
                <c:pt idx="32">
                  <c:v>1.1750909076202094</c:v>
                </c:pt>
                <c:pt idx="33">
                  <c:v>1.1805624984833409</c:v>
                </c:pt>
                <c:pt idx="34">
                  <c:v>1.1860340893464725</c:v>
                </c:pt>
                <c:pt idx="35">
                  <c:v>1.191505680209604</c:v>
                </c:pt>
                <c:pt idx="36">
                  <c:v>1.1969772710727355</c:v>
                </c:pt>
                <c:pt idx="37">
                  <c:v>1.2</c:v>
                </c:pt>
                <c:pt idx="38">
                  <c:v>1.2201255301102629</c:v>
                </c:pt>
                <c:pt idx="39">
                  <c:v>1.226308170766186</c:v>
                </c:pt>
                <c:pt idx="40">
                  <c:v>1.2324908114221091</c:v>
                </c:pt>
                <c:pt idx="41">
                  <c:v>1.2386734520780323</c:v>
                </c:pt>
                <c:pt idx="42">
                  <c:v>1.2448560927339554</c:v>
                </c:pt>
                <c:pt idx="43">
                  <c:v>1.2510387333898785</c:v>
                </c:pt>
                <c:pt idx="44">
                  <c:v>1.2572213740458016</c:v>
                </c:pt>
                <c:pt idx="45">
                  <c:v>1.2634040147017247</c:v>
                </c:pt>
                <c:pt idx="46">
                  <c:v>1.2695866553576478</c:v>
                </c:pt>
                <c:pt idx="47">
                  <c:v>1.2757692960135707</c:v>
                </c:pt>
                <c:pt idx="48">
                  <c:v>1.2819519366694938</c:v>
                </c:pt>
                <c:pt idx="49">
                  <c:v>1.2881345773254169</c:v>
                </c:pt>
                <c:pt idx="50">
                  <c:v>1.29431721798134</c:v>
                </c:pt>
                <c:pt idx="51">
                  <c:v>1.3004998586372631</c:v>
                </c:pt>
                <c:pt idx="52">
                  <c:v>1.3066824992931863</c:v>
                </c:pt>
                <c:pt idx="53">
                  <c:v>1.3128651399491094</c:v>
                </c:pt>
                <c:pt idx="54">
                  <c:v>1.3190477806050325</c:v>
                </c:pt>
                <c:pt idx="55">
                  <c:v>1.3252304212609556</c:v>
                </c:pt>
                <c:pt idx="56">
                  <c:v>1.3314130619168787</c:v>
                </c:pt>
                <c:pt idx="57">
                  <c:v>1.3375957025728018</c:v>
                </c:pt>
                <c:pt idx="58">
                  <c:v>1.3437783432287249</c:v>
                </c:pt>
                <c:pt idx="59">
                  <c:v>1.349960983884648</c:v>
                </c:pt>
                <c:pt idx="60">
                  <c:v>1.3561436245405711</c:v>
                </c:pt>
                <c:pt idx="61">
                  <c:v>1.3623262651964942</c:v>
                </c:pt>
                <c:pt idx="62">
                  <c:v>1.3685089058524174</c:v>
                </c:pt>
                <c:pt idx="63">
                  <c:v>1.3746915465083402</c:v>
                </c:pt>
                <c:pt idx="64">
                  <c:v>1.3808741871642634</c:v>
                </c:pt>
                <c:pt idx="65">
                  <c:v>1.3870568278201865</c:v>
                </c:pt>
                <c:pt idx="66">
                  <c:v>1.3932394684761096</c:v>
                </c:pt>
                <c:pt idx="67">
                  <c:v>1.3994221091320329</c:v>
                </c:pt>
                <c:pt idx="68">
                  <c:v>1.4056047497879558</c:v>
                </c:pt>
                <c:pt idx="69">
                  <c:v>1.4117873904438789</c:v>
                </c:pt>
                <c:pt idx="70">
                  <c:v>1.417970031099802</c:v>
                </c:pt>
                <c:pt idx="71">
                  <c:v>1.4241526717557251</c:v>
                </c:pt>
                <c:pt idx="72">
                  <c:v>1.4303353124116482</c:v>
                </c:pt>
                <c:pt idx="73">
                  <c:v>1.4365179530675714</c:v>
                </c:pt>
                <c:pt idx="74">
                  <c:v>1.4427005937234945</c:v>
                </c:pt>
                <c:pt idx="75">
                  <c:v>1.4488832343794176</c:v>
                </c:pt>
                <c:pt idx="76">
                  <c:v>1.4550658750353407</c:v>
                </c:pt>
                <c:pt idx="77">
                  <c:v>1.4612485156912638</c:v>
                </c:pt>
                <c:pt idx="78">
                  <c:v>1.4674311563471869</c:v>
                </c:pt>
                <c:pt idx="79">
                  <c:v>1.47361379700311</c:v>
                </c:pt>
                <c:pt idx="80">
                  <c:v>1.4797964376590331</c:v>
                </c:pt>
                <c:pt idx="81">
                  <c:v>1.4859790783149562</c:v>
                </c:pt>
                <c:pt idx="82">
                  <c:v>1.4921617189708791</c:v>
                </c:pt>
                <c:pt idx="83">
                  <c:v>1.4983443596268025</c:v>
                </c:pt>
                <c:pt idx="84">
                  <c:v>1.5045270002827256</c:v>
                </c:pt>
                <c:pt idx="85">
                  <c:v>1.5107096409386487</c:v>
                </c:pt>
                <c:pt idx="86">
                  <c:v>1.5168922815945716</c:v>
                </c:pt>
                <c:pt idx="87">
                  <c:v>1.5230749222504949</c:v>
                </c:pt>
                <c:pt idx="88">
                  <c:v>1.5292575629064178</c:v>
                </c:pt>
                <c:pt idx="89">
                  <c:v>1.5354402035623411</c:v>
                </c:pt>
                <c:pt idx="90">
                  <c:v>1.541622844218264</c:v>
                </c:pt>
                <c:pt idx="91">
                  <c:v>1.5478054848741873</c:v>
                </c:pt>
                <c:pt idx="92">
                  <c:v>1.5539881255301102</c:v>
                </c:pt>
                <c:pt idx="93">
                  <c:v>1.5601707661860336</c:v>
                </c:pt>
                <c:pt idx="94">
                  <c:v>1.5663534068419565</c:v>
                </c:pt>
                <c:pt idx="95">
                  <c:v>1.5725360474978796</c:v>
                </c:pt>
                <c:pt idx="96">
                  <c:v>1.5787186881538027</c:v>
                </c:pt>
                <c:pt idx="97">
                  <c:v>1.5849013288097258</c:v>
                </c:pt>
                <c:pt idx="98">
                  <c:v>1.5910839694656489</c:v>
                </c:pt>
                <c:pt idx="99">
                  <c:v>1.597266610121572</c:v>
                </c:pt>
                <c:pt idx="100">
                  <c:v>1.6034492507774951</c:v>
                </c:pt>
              </c:numCache>
            </c:numRef>
          </c:val>
          <c:smooth val="0"/>
          <c:extLst>
            <c:ext xmlns:c16="http://schemas.microsoft.com/office/drawing/2014/chart" uri="{C3380CC4-5D6E-409C-BE32-E72D297353CC}">
              <c16:uniqueId val="{00000000-676F-4B59-8DC5-0C817B95AC8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c:v>
                </c:pt>
                <c:pt idx="2">
                  <c:v>2</c:v>
                </c:pt>
                <c:pt idx="3">
                  <c:v>3</c:v>
                </c:pt>
                <c:pt idx="4">
                  <c:v>4</c:v>
                </c:pt>
                <c:pt idx="5">
                  <c:v>5.0000000000000009</c:v>
                </c:pt>
                <c:pt idx="6">
                  <c:v>6</c:v>
                </c:pt>
                <c:pt idx="7">
                  <c:v>7.0000000000000009</c:v>
                </c:pt>
                <c:pt idx="8">
                  <c:v>8</c:v>
                </c:pt>
                <c:pt idx="9">
                  <c:v>9</c:v>
                </c:pt>
                <c:pt idx="10">
                  <c:v>10.000000000000002</c:v>
                </c:pt>
                <c:pt idx="11">
                  <c:v>11.000000000000002</c:v>
                </c:pt>
                <c:pt idx="12">
                  <c:v>12</c:v>
                </c:pt>
                <c:pt idx="13">
                  <c:v>13.000000000000002</c:v>
                </c:pt>
                <c:pt idx="14">
                  <c:v>14.000000000000002</c:v>
                </c:pt>
                <c:pt idx="15">
                  <c:v>15</c:v>
                </c:pt>
                <c:pt idx="16">
                  <c:v>16</c:v>
                </c:pt>
                <c:pt idx="17">
                  <c:v>17</c:v>
                </c:pt>
                <c:pt idx="18">
                  <c:v>18</c:v>
                </c:pt>
                <c:pt idx="19">
                  <c:v>19.000000000000004</c:v>
                </c:pt>
                <c:pt idx="20">
                  <c:v>20.000000000000004</c:v>
                </c:pt>
                <c:pt idx="21">
                  <c:v>21</c:v>
                </c:pt>
                <c:pt idx="22">
                  <c:v>22.000000000000004</c:v>
                </c:pt>
                <c:pt idx="23">
                  <c:v>23.000000000000004</c:v>
                </c:pt>
                <c:pt idx="24">
                  <c:v>24</c:v>
                </c:pt>
                <c:pt idx="25">
                  <c:v>25</c:v>
                </c:pt>
                <c:pt idx="26">
                  <c:v>26.000000000000004</c:v>
                </c:pt>
                <c:pt idx="27">
                  <c:v>27.000000000000004</c:v>
                </c:pt>
                <c:pt idx="28">
                  <c:v>28.000000000000004</c:v>
                </c:pt>
                <c:pt idx="29">
                  <c:v>28.999999999999996</c:v>
                </c:pt>
                <c:pt idx="30">
                  <c:v>30</c:v>
                </c:pt>
                <c:pt idx="31">
                  <c:v>31</c:v>
                </c:pt>
                <c:pt idx="32">
                  <c:v>32</c:v>
                </c:pt>
                <c:pt idx="33">
                  <c:v>33</c:v>
                </c:pt>
                <c:pt idx="34">
                  <c:v>34</c:v>
                </c:pt>
                <c:pt idx="35">
                  <c:v>34.999999999999993</c:v>
                </c:pt>
                <c:pt idx="36">
                  <c:v>36</c:v>
                </c:pt>
                <c:pt idx="37">
                  <c:v>37</c:v>
                </c:pt>
                <c:pt idx="38">
                  <c:v>38.000000000000007</c:v>
                </c:pt>
                <c:pt idx="39">
                  <c:v>39.000000000000007</c:v>
                </c:pt>
                <c:pt idx="40">
                  <c:v>40.000000000000007</c:v>
                </c:pt>
                <c:pt idx="41">
                  <c:v>41</c:v>
                </c:pt>
                <c:pt idx="42">
                  <c:v>42</c:v>
                </c:pt>
                <c:pt idx="43">
                  <c:v>43</c:v>
                </c:pt>
                <c:pt idx="44">
                  <c:v>44.000000000000007</c:v>
                </c:pt>
                <c:pt idx="45">
                  <c:v>45.000000000000007</c:v>
                </c:pt>
                <c:pt idx="46">
                  <c:v>46.000000000000007</c:v>
                </c:pt>
                <c:pt idx="47">
                  <c:v>47</c:v>
                </c:pt>
                <c:pt idx="48">
                  <c:v>48</c:v>
                </c:pt>
                <c:pt idx="49">
                  <c:v>49</c:v>
                </c:pt>
                <c:pt idx="50">
                  <c:v>50</c:v>
                </c:pt>
                <c:pt idx="51">
                  <c:v>51.000000000000007</c:v>
                </c:pt>
                <c:pt idx="52">
                  <c:v>52.000000000000007</c:v>
                </c:pt>
                <c:pt idx="53">
                  <c:v>53.000000000000007</c:v>
                </c:pt>
                <c:pt idx="54">
                  <c:v>54.000000000000007</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71</c:v>
                </c:pt>
                <c:pt idx="72">
                  <c:v>72</c:v>
                </c:pt>
                <c:pt idx="73">
                  <c:v>73</c:v>
                </c:pt>
                <c:pt idx="74">
                  <c:v>74</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87.000000000000014</c:v>
                </c:pt>
                <c:pt idx="88">
                  <c:v>88.000000000000014</c:v>
                </c:pt>
                <c:pt idx="89">
                  <c:v>89.000000000000014</c:v>
                </c:pt>
                <c:pt idx="90">
                  <c:v>90.000000000000014</c:v>
                </c:pt>
                <c:pt idx="91">
                  <c:v>91.000000000000014</c:v>
                </c:pt>
                <c:pt idx="92">
                  <c:v>92.000000000000014</c:v>
                </c:pt>
                <c:pt idx="93">
                  <c:v>93.000000000000014</c:v>
                </c:pt>
                <c:pt idx="94">
                  <c:v>94</c:v>
                </c:pt>
                <c:pt idx="95">
                  <c:v>95</c:v>
                </c:pt>
                <c:pt idx="96">
                  <c:v>96</c:v>
                </c:pt>
                <c:pt idx="97">
                  <c:v>97</c:v>
                </c:pt>
                <c:pt idx="98">
                  <c:v>98</c:v>
                </c:pt>
                <c:pt idx="99">
                  <c:v>99</c:v>
                </c:pt>
                <c:pt idx="100">
                  <c:v>100</c:v>
                </c:pt>
              </c:numCache>
            </c:numRef>
          </c:cat>
          <c:val>
            <c:numRef>
              <c:f>'Calculations - Dual'!$AJ$5:$AJ$105</c:f>
              <c:numCache>
                <c:formatCode>0.000</c:formatCode>
                <c:ptCount val="101"/>
                <c:pt idx="0">
                  <c:v>1.0057142857142858</c:v>
                </c:pt>
                <c:pt idx="1">
                  <c:v>1.0057142857142858</c:v>
                </c:pt>
                <c:pt idx="2">
                  <c:v>1.0109431817262631</c:v>
                </c:pt>
                <c:pt idx="3">
                  <c:v>1.0164147725893946</c:v>
                </c:pt>
                <c:pt idx="4">
                  <c:v>1.0218863634525261</c:v>
                </c:pt>
                <c:pt idx="5">
                  <c:v>1.0273579543156577</c:v>
                </c:pt>
                <c:pt idx="6">
                  <c:v>1.0328295451787892</c:v>
                </c:pt>
                <c:pt idx="7">
                  <c:v>1.0383011360419208</c:v>
                </c:pt>
                <c:pt idx="8">
                  <c:v>1.0437727269050523</c:v>
                </c:pt>
                <c:pt idx="9">
                  <c:v>1.0492443177681838</c:v>
                </c:pt>
                <c:pt idx="10">
                  <c:v>1.0547159086313154</c:v>
                </c:pt>
                <c:pt idx="11">
                  <c:v>1.0601874994944469</c:v>
                </c:pt>
                <c:pt idx="12">
                  <c:v>1.0656590903575784</c:v>
                </c:pt>
                <c:pt idx="13">
                  <c:v>1.0711306812207102</c:v>
                </c:pt>
                <c:pt idx="14">
                  <c:v>1.0766022720838417</c:v>
                </c:pt>
                <c:pt idx="15">
                  <c:v>1.0820738629469733</c:v>
                </c:pt>
                <c:pt idx="16">
                  <c:v>1.0875454538101048</c:v>
                </c:pt>
                <c:pt idx="17">
                  <c:v>1.0930170446732363</c:v>
                </c:pt>
                <c:pt idx="18">
                  <c:v>1.0984886355363679</c:v>
                </c:pt>
                <c:pt idx="19">
                  <c:v>1.1039602263994994</c:v>
                </c:pt>
                <c:pt idx="20">
                  <c:v>1.109431817262631</c:v>
                </c:pt>
                <c:pt idx="21">
                  <c:v>1.1149034081257625</c:v>
                </c:pt>
                <c:pt idx="22">
                  <c:v>1.120374998988894</c:v>
                </c:pt>
                <c:pt idx="23">
                  <c:v>1.1258465898520256</c:v>
                </c:pt>
                <c:pt idx="24">
                  <c:v>1.1313181807151571</c:v>
                </c:pt>
                <c:pt idx="25">
                  <c:v>1.1367897715782886</c:v>
                </c:pt>
                <c:pt idx="26">
                  <c:v>1.1422613624414202</c:v>
                </c:pt>
                <c:pt idx="27">
                  <c:v>1.1477329533045517</c:v>
                </c:pt>
                <c:pt idx="28">
                  <c:v>1.1532045441676833</c:v>
                </c:pt>
                <c:pt idx="29">
                  <c:v>1.1586761350308148</c:v>
                </c:pt>
                <c:pt idx="30">
                  <c:v>1.1641477258939463</c:v>
                </c:pt>
                <c:pt idx="31">
                  <c:v>1.1696193167570779</c:v>
                </c:pt>
                <c:pt idx="32">
                  <c:v>1.1750909076202094</c:v>
                </c:pt>
                <c:pt idx="33">
                  <c:v>1.1805624984833409</c:v>
                </c:pt>
                <c:pt idx="34">
                  <c:v>1.1860340893464725</c:v>
                </c:pt>
                <c:pt idx="35">
                  <c:v>1.191505680209604</c:v>
                </c:pt>
                <c:pt idx="36">
                  <c:v>1.1969772710727355</c:v>
                </c:pt>
                <c:pt idx="37">
                  <c:v>1.2</c:v>
                </c:pt>
                <c:pt idx="38">
                  <c:v>1.2</c:v>
                </c:pt>
                <c:pt idx="39">
                  <c:v>1.2027997542963411</c:v>
                </c:pt>
                <c:pt idx="40">
                  <c:v>1.205572026175002</c:v>
                </c:pt>
                <c:pt idx="41">
                  <c:v>1.2083098558818779</c:v>
                </c:pt>
                <c:pt idx="42">
                  <c:v>1.211014496093987</c:v>
                </c:pt>
                <c:pt idx="43">
                  <c:v>1.2136871253467101</c:v>
                </c:pt>
                <c:pt idx="44">
                  <c:v>1.2163288540355732</c:v>
                </c:pt>
                <c:pt idx="45">
                  <c:v>1.2189407298074564</c:v>
                </c:pt>
                <c:pt idx="46">
                  <c:v>1.2215237424154675</c:v>
                </c:pt>
                <c:pt idx="47">
                  <c:v>1.2240788281012915</c:v>
                </c:pt>
                <c:pt idx="48">
                  <c:v>1.2266068735600388</c:v>
                </c:pt>
                <c:pt idx="49">
                  <c:v>1.2291087195351977</c:v>
                </c:pt>
                <c:pt idx="50">
                  <c:v>1.2315851640850188</c:v>
                </c:pt>
                <c:pt idx="51">
                  <c:v>1.2340369655563035</c:v>
                </c:pt>
                <c:pt idx="52">
                  <c:v>1.2364648452970057</c:v>
                </c:pt>
                <c:pt idx="53">
                  <c:v>1.238869490135154</c:v>
                </c:pt>
                <c:pt idx="54">
                  <c:v>1.2412515546482319</c:v>
                </c:pt>
                <c:pt idx="55">
                  <c:v>1.2436116632442693</c:v>
                </c:pt>
                <c:pt idx="56">
                  <c:v>1.2459504120733942</c:v>
                </c:pt>
                <c:pt idx="57">
                  <c:v>1.2482683707864239</c:v>
                </c:pt>
                <c:pt idx="58">
                  <c:v>1.2505660841551989</c:v>
                </c:pt>
                <c:pt idx="59">
                  <c:v>1.2528440735677109</c:v>
                </c:pt>
                <c:pt idx="60">
                  <c:v>1.255102838409657</c:v>
                </c:pt>
                <c:pt idx="61">
                  <c:v>1.2573428573427838</c:v>
                </c:pt>
                <c:pt idx="62">
                  <c:v>1.2595645894892979</c:v>
                </c:pt>
                <c:pt idx="63">
                  <c:v>1.2617684755306371</c:v>
                </c:pt>
                <c:pt idx="64">
                  <c:v>1.2639549387280566</c:v>
                </c:pt>
                <c:pt idx="65">
                  <c:v>1.2661243858717217</c:v>
                </c:pt>
                <c:pt idx="66">
                  <c:v>1.2682772081643336</c:v>
                </c:pt>
                <c:pt idx="67">
                  <c:v>1.2704137820447279</c:v>
                </c:pt>
                <c:pt idx="68">
                  <c:v>1.2725344699563506</c:v>
                </c:pt>
                <c:pt idx="69">
                  <c:v>1.2746396210650608</c:v>
                </c:pt>
                <c:pt idx="70">
                  <c:v>1.2767295719302807</c:v>
                </c:pt>
                <c:pt idx="71">
                  <c:v>1.2788046471331471</c:v>
                </c:pt>
                <c:pt idx="72">
                  <c:v>1.2808651598649856</c:v>
                </c:pt>
                <c:pt idx="73">
                  <c:v>1.2829114124791274</c:v>
                </c:pt>
                <c:pt idx="74">
                  <c:v>1.2849436970088213</c:v>
                </c:pt>
                <c:pt idx="75">
                  <c:v>1.2869622956537523</c:v>
                </c:pt>
                <c:pt idx="76">
                  <c:v>1.2889674812374643</c:v>
                </c:pt>
                <c:pt idx="77">
                  <c:v>1.2909595176377822</c:v>
                </c:pt>
                <c:pt idx="78">
                  <c:v>1.2929386601921589</c:v>
                </c:pt>
                <c:pt idx="79">
                  <c:v>1.2949051560797091</c:v>
                </c:pt>
                <c:pt idx="80">
                  <c:v>1.2968592446815468</c:v>
                </c:pt>
                <c:pt idx="81">
                  <c:v>1.2988011579209155</c:v>
                </c:pt>
                <c:pt idx="82">
                  <c:v>1.3007311205844787</c:v>
                </c:pt>
                <c:pt idx="83">
                  <c:v>1.3026493506260297</c:v>
                </c:pt>
                <c:pt idx="84">
                  <c:v>1.3045560594537833</c:v>
                </c:pt>
                <c:pt idx="85">
                  <c:v>1.3368619043131342</c:v>
                </c:pt>
                <c:pt idx="86">
                  <c:v>1.3409992774793453</c:v>
                </c:pt>
                <c:pt idx="87">
                  <c:v>1.3451366506455564</c:v>
                </c:pt>
                <c:pt idx="88">
                  <c:v>1.3492740238117675</c:v>
                </c:pt>
                <c:pt idx="89">
                  <c:v>1.3534113969779789</c:v>
                </c:pt>
                <c:pt idx="90">
                  <c:v>1.35754877014419</c:v>
                </c:pt>
                <c:pt idx="91">
                  <c:v>1.3616861433104013</c:v>
                </c:pt>
                <c:pt idx="92">
                  <c:v>1.3658235164766124</c:v>
                </c:pt>
                <c:pt idx="93">
                  <c:v>1.3699608896428235</c:v>
                </c:pt>
                <c:pt idx="94">
                  <c:v>1.3740982628090346</c:v>
                </c:pt>
                <c:pt idx="95">
                  <c:v>1.3782356359752459</c:v>
                </c:pt>
                <c:pt idx="96">
                  <c:v>1.382373009141457</c:v>
                </c:pt>
                <c:pt idx="97">
                  <c:v>1.3865103823076681</c:v>
                </c:pt>
                <c:pt idx="98">
                  <c:v>1.3906477554738792</c:v>
                </c:pt>
                <c:pt idx="99">
                  <c:v>1.3947851286400905</c:v>
                </c:pt>
                <c:pt idx="100">
                  <c:v>1.3989225018063016</c:v>
                </c:pt>
              </c:numCache>
            </c:numRef>
          </c:val>
          <c:smooth val="0"/>
          <c:extLst>
            <c:ext xmlns:c16="http://schemas.microsoft.com/office/drawing/2014/chart" uri="{C3380CC4-5D6E-409C-BE32-E72D297353CC}">
              <c16:uniqueId val="{00000001-676F-4B59-8DC5-0C817B95AC87}"/>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1.0057142857142858</c:v>
                </c:pt>
                <c:pt idx="2">
                  <c:v>1.0109431817262631</c:v>
                </c:pt>
                <c:pt idx="3">
                  <c:v>1.0164147725893946</c:v>
                </c:pt>
                <c:pt idx="4">
                  <c:v>1.0218863634525261</c:v>
                </c:pt>
                <c:pt idx="5">
                  <c:v>1.0273579543156577</c:v>
                </c:pt>
                <c:pt idx="6">
                  <c:v>1.0328295451787892</c:v>
                </c:pt>
                <c:pt idx="7">
                  <c:v>1.0383011360419208</c:v>
                </c:pt>
                <c:pt idx="8">
                  <c:v>1.0437727269050523</c:v>
                </c:pt>
                <c:pt idx="9">
                  <c:v>1.0492443177681838</c:v>
                </c:pt>
                <c:pt idx="10">
                  <c:v>1.0547159086313154</c:v>
                </c:pt>
                <c:pt idx="11">
                  <c:v>1.0601874994944469</c:v>
                </c:pt>
                <c:pt idx="12">
                  <c:v>1.0656590903575784</c:v>
                </c:pt>
                <c:pt idx="13">
                  <c:v>1.0711306812207102</c:v>
                </c:pt>
                <c:pt idx="14">
                  <c:v>1.0766022720838417</c:v>
                </c:pt>
                <c:pt idx="15">
                  <c:v>1.0820738629469733</c:v>
                </c:pt>
                <c:pt idx="16">
                  <c:v>1.0875454538101048</c:v>
                </c:pt>
                <c:pt idx="17">
                  <c:v>1.0930170446732363</c:v>
                </c:pt>
                <c:pt idx="18">
                  <c:v>1.0984886355363679</c:v>
                </c:pt>
                <c:pt idx="19">
                  <c:v>1.1039602263994994</c:v>
                </c:pt>
                <c:pt idx="20">
                  <c:v>1.109431817262631</c:v>
                </c:pt>
                <c:pt idx="21">
                  <c:v>1.1149034081257625</c:v>
                </c:pt>
                <c:pt idx="22">
                  <c:v>1.120374998988894</c:v>
                </c:pt>
                <c:pt idx="23">
                  <c:v>1.1258465898520256</c:v>
                </c:pt>
                <c:pt idx="24">
                  <c:v>1.1313181807151571</c:v>
                </c:pt>
                <c:pt idx="25">
                  <c:v>1.1367897715782886</c:v>
                </c:pt>
                <c:pt idx="26">
                  <c:v>1.1422613624414202</c:v>
                </c:pt>
                <c:pt idx="27">
                  <c:v>1.1477329533045517</c:v>
                </c:pt>
                <c:pt idx="28">
                  <c:v>1.1532045441676833</c:v>
                </c:pt>
                <c:pt idx="29">
                  <c:v>1.1586761350308148</c:v>
                </c:pt>
                <c:pt idx="30">
                  <c:v>1.1641477258939463</c:v>
                </c:pt>
                <c:pt idx="31">
                  <c:v>1.1696193167570779</c:v>
                </c:pt>
                <c:pt idx="32">
                  <c:v>1.1750909076202094</c:v>
                </c:pt>
                <c:pt idx="33">
                  <c:v>1.1805624984833409</c:v>
                </c:pt>
                <c:pt idx="34">
                  <c:v>1.1860340893464725</c:v>
                </c:pt>
                <c:pt idx="35">
                  <c:v>1.191505680209604</c:v>
                </c:pt>
                <c:pt idx="36">
                  <c:v>1.1969772710727355</c:v>
                </c:pt>
                <c:pt idx="37">
                  <c:v>1.2</c:v>
                </c:pt>
                <c:pt idx="38">
                  <c:v>1.2</c:v>
                </c:pt>
                <c:pt idx="39">
                  <c:v>1.2027997542963411</c:v>
                </c:pt>
                <c:pt idx="40">
                  <c:v>1.205572026175002</c:v>
                </c:pt>
                <c:pt idx="41">
                  <c:v>1.2083098558818779</c:v>
                </c:pt>
                <c:pt idx="42">
                  <c:v>1.211014496093987</c:v>
                </c:pt>
                <c:pt idx="43">
                  <c:v>1.2136871253467101</c:v>
                </c:pt>
                <c:pt idx="44">
                  <c:v>1.2163288540355732</c:v>
                </c:pt>
                <c:pt idx="45">
                  <c:v>1.2189407298074564</c:v>
                </c:pt>
                <c:pt idx="46">
                  <c:v>1.2215237424154675</c:v>
                </c:pt>
                <c:pt idx="47">
                  <c:v>1.2240788281012915</c:v>
                </c:pt>
                <c:pt idx="48">
                  <c:v>1.2266068735600388</c:v>
                </c:pt>
                <c:pt idx="49">
                  <c:v>1.2291087195351977</c:v>
                </c:pt>
                <c:pt idx="50">
                  <c:v>1.2315851640850188</c:v>
                </c:pt>
                <c:pt idx="51">
                  <c:v>1.2340369655563035</c:v>
                </c:pt>
                <c:pt idx="52">
                  <c:v>1.2364648452970057</c:v>
                </c:pt>
                <c:pt idx="53">
                  <c:v>1.238869490135154</c:v>
                </c:pt>
                <c:pt idx="54">
                  <c:v>1.2412515546482319</c:v>
                </c:pt>
                <c:pt idx="55">
                  <c:v>1.2436116632442693</c:v>
                </c:pt>
                <c:pt idx="56">
                  <c:v>1.2459504120733942</c:v>
                </c:pt>
                <c:pt idx="57">
                  <c:v>1.2482683707864239</c:v>
                </c:pt>
                <c:pt idx="58">
                  <c:v>1.2505660841551989</c:v>
                </c:pt>
                <c:pt idx="59">
                  <c:v>1.2528440735677109</c:v>
                </c:pt>
                <c:pt idx="60">
                  <c:v>1.255102838409657</c:v>
                </c:pt>
                <c:pt idx="61">
                  <c:v>1.2573428573427838</c:v>
                </c:pt>
                <c:pt idx="62">
                  <c:v>1.2595645894892979</c:v>
                </c:pt>
                <c:pt idx="63">
                  <c:v>1.2617684755306371</c:v>
                </c:pt>
                <c:pt idx="64">
                  <c:v>1.2639549387280566</c:v>
                </c:pt>
                <c:pt idx="65">
                  <c:v>1.2661243858717217</c:v>
                </c:pt>
                <c:pt idx="66">
                  <c:v>1.2682772081643336</c:v>
                </c:pt>
                <c:pt idx="67">
                  <c:v>1.2704137820447279</c:v>
                </c:pt>
                <c:pt idx="68">
                  <c:v>1.2725344699563506</c:v>
                </c:pt>
                <c:pt idx="69">
                  <c:v>1.2746396210650608</c:v>
                </c:pt>
                <c:pt idx="70">
                  <c:v>1.2767295719302807</c:v>
                </c:pt>
                <c:pt idx="71">
                  <c:v>1.2788046471331471</c:v>
                </c:pt>
                <c:pt idx="72">
                  <c:v>1.2808651598649856</c:v>
                </c:pt>
                <c:pt idx="73">
                  <c:v>1.2829114124791274</c:v>
                </c:pt>
                <c:pt idx="74">
                  <c:v>1.2849436970088213</c:v>
                </c:pt>
                <c:pt idx="75">
                  <c:v>1.2869622956537523</c:v>
                </c:pt>
                <c:pt idx="76">
                  <c:v>1.2889674812374643</c:v>
                </c:pt>
                <c:pt idx="77">
                  <c:v>1.2909595176377822</c:v>
                </c:pt>
                <c:pt idx="78">
                  <c:v>1.2929386601921589</c:v>
                </c:pt>
                <c:pt idx="79">
                  <c:v>1.2949051560797091</c:v>
                </c:pt>
                <c:pt idx="80">
                  <c:v>1.2968592446815468</c:v>
                </c:pt>
                <c:pt idx="81">
                  <c:v>1.2988011579209155</c:v>
                </c:pt>
                <c:pt idx="82">
                  <c:v>1.3007311205844787</c:v>
                </c:pt>
                <c:pt idx="83">
                  <c:v>1.3026493506260297</c:v>
                </c:pt>
                <c:pt idx="84">
                  <c:v>1.3045560594537833</c:v>
                </c:pt>
                <c:pt idx="85">
                  <c:v>1.3064514522023207</c:v>
                </c:pt>
                <c:pt idx="86">
                  <c:v>1.3083357279901791</c:v>
                </c:pt>
                <c:pt idx="87">
                  <c:v>1.310209080163999</c:v>
                </c:pt>
                <c:pt idx="88">
                  <c:v>1.3120716965300796</c:v>
                </c:pt>
                <c:pt idx="89">
                  <c:v>1.3139237595741249</c:v>
                </c:pt>
                <c:pt idx="90">
                  <c:v>1.3157654466699105</c:v>
                </c:pt>
                <c:pt idx="91">
                  <c:v>1.3175969302775421</c:v>
                </c:pt>
                <c:pt idx="92">
                  <c:v>1.3194183781319402</c:v>
                </c:pt>
                <c:pt idx="93">
                  <c:v>1.3212299534221266</c:v>
                </c:pt>
                <c:pt idx="94">
                  <c:v>1.3230318149618581</c:v>
                </c:pt>
                <c:pt idx="95">
                  <c:v>1.324824117352116</c:v>
                </c:pt>
                <c:pt idx="96">
                  <c:v>1.3266070111359141</c:v>
                </c:pt>
                <c:pt idx="97">
                  <c:v>1.3283806429458709</c:v>
                </c:pt>
                <c:pt idx="98">
                  <c:v>1.3301451556449524</c:v>
                </c:pt>
                <c:pt idx="99">
                  <c:v>1.3319006884607674</c:v>
                </c:pt>
                <c:pt idx="100">
                  <c:v>1.3336473771137745</c:v>
                </c:pt>
              </c:numCache>
            </c:numRef>
          </c:val>
          <c:smooth val="0"/>
          <c:extLst>
            <c:ext xmlns:c16="http://schemas.microsoft.com/office/drawing/2014/chart" uri="{C3380CC4-5D6E-409C-BE32-E72D297353CC}">
              <c16:uniqueId val="{00000002-676F-4B59-8DC5-0C817B95AC87}"/>
            </c:ext>
          </c:extLst>
        </c:ser>
        <c:dLbls>
          <c:showLegendKey val="0"/>
          <c:showVal val="0"/>
          <c:showCatName val="0"/>
          <c:showSerName val="0"/>
          <c:showPercent val="0"/>
          <c:showBubbleSize val="0"/>
        </c:dLbls>
        <c:smooth val="0"/>
        <c:axId val="143691776"/>
        <c:axId val="143693696"/>
      </c:lineChart>
      <c:catAx>
        <c:axId val="143691776"/>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cs-CZ"/>
          </a:p>
        </c:txPr>
        <c:crossAx val="143693696"/>
        <c:crosses val="autoZero"/>
        <c:auto val="1"/>
        <c:lblAlgn val="ctr"/>
        <c:lblOffset val="100"/>
        <c:tickLblSkip val="20"/>
        <c:tickMarkSkip val="10"/>
        <c:noMultiLvlLbl val="0"/>
      </c:catAx>
      <c:valAx>
        <c:axId val="143693696"/>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cs-CZ"/>
          </a:p>
        </c:txPr>
        <c:crossAx val="14369177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cs-CZ"/>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cs-CZ"/>
    </a:p>
  </c:txPr>
  <c:printSettings>
    <c:headerFooter alignWithMargins="0"/>
    <c:pageMargins b="1" l="0.750000000000006" r="0.750000000000006" t="1" header="0.5" footer="0.5"/>
    <c:pageSetup paperSize="5"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Dual'!$BZ$5:$BZ$105</c:f>
              <c:numCache>
                <c:formatCode>General</c:formatCode>
                <c:ptCount val="101"/>
                <c:pt idx="0">
                  <c:v>0</c:v>
                </c:pt>
                <c:pt idx="1">
                  <c:v>1</c:v>
                </c:pt>
                <c:pt idx="2">
                  <c:v>2</c:v>
                </c:pt>
                <c:pt idx="3">
                  <c:v>3</c:v>
                </c:pt>
                <c:pt idx="4">
                  <c:v>4</c:v>
                </c:pt>
                <c:pt idx="5">
                  <c:v>5.0000000000000009</c:v>
                </c:pt>
                <c:pt idx="6">
                  <c:v>6</c:v>
                </c:pt>
                <c:pt idx="7">
                  <c:v>7.0000000000000009</c:v>
                </c:pt>
                <c:pt idx="8">
                  <c:v>8</c:v>
                </c:pt>
                <c:pt idx="9">
                  <c:v>8.9999999999999982</c:v>
                </c:pt>
                <c:pt idx="10">
                  <c:v>10.000000000000002</c:v>
                </c:pt>
                <c:pt idx="11">
                  <c:v>11</c:v>
                </c:pt>
                <c:pt idx="12">
                  <c:v>12</c:v>
                </c:pt>
                <c:pt idx="13">
                  <c:v>13</c:v>
                </c:pt>
                <c:pt idx="14">
                  <c:v>14.000000000000002</c:v>
                </c:pt>
                <c:pt idx="15">
                  <c:v>15</c:v>
                </c:pt>
                <c:pt idx="16">
                  <c:v>16</c:v>
                </c:pt>
                <c:pt idx="17">
                  <c:v>17</c:v>
                </c:pt>
                <c:pt idx="18">
                  <c:v>17.999999999999996</c:v>
                </c:pt>
                <c:pt idx="19">
                  <c:v>19.000000000000004</c:v>
                </c:pt>
                <c:pt idx="20">
                  <c:v>20.000000000000004</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34.999999999999993</c:v>
                </c:pt>
                <c:pt idx="36">
                  <c:v>35.999999999999993</c:v>
                </c:pt>
                <c:pt idx="37">
                  <c:v>36.999999999999993</c:v>
                </c:pt>
                <c:pt idx="38">
                  <c:v>38.000000000000007</c:v>
                </c:pt>
                <c:pt idx="39">
                  <c:v>39.000000000000007</c:v>
                </c:pt>
                <c:pt idx="40">
                  <c:v>40.000000000000007</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68.999999999999986</c:v>
                </c:pt>
                <c:pt idx="70">
                  <c:v>69.999999999999986</c:v>
                </c:pt>
                <c:pt idx="71">
                  <c:v>70.999999999999986</c:v>
                </c:pt>
                <c:pt idx="72">
                  <c:v>71.999999999999986</c:v>
                </c:pt>
                <c:pt idx="73">
                  <c:v>72.999999999999986</c:v>
                </c:pt>
                <c:pt idx="74">
                  <c:v>73.999999999999986</c:v>
                </c:pt>
                <c:pt idx="75">
                  <c:v>75.000000000000014</c:v>
                </c:pt>
                <c:pt idx="76">
                  <c:v>76.000000000000014</c:v>
                </c:pt>
                <c:pt idx="77">
                  <c:v>77.000000000000014</c:v>
                </c:pt>
                <c:pt idx="78">
                  <c:v>78.000000000000014</c:v>
                </c:pt>
                <c:pt idx="79">
                  <c:v>79.000000000000014</c:v>
                </c:pt>
                <c:pt idx="80">
                  <c:v>80.000000000000014</c:v>
                </c:pt>
                <c:pt idx="81">
                  <c:v>81.000000000000014</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Dual'!$BY$5:$BY$105</c:f>
              <c:numCache>
                <c:formatCode>0.00</c:formatCode>
                <c:ptCount val="101"/>
                <c:pt idx="0">
                  <c:v>2.0234541622232013E-4</c:v>
                </c:pt>
                <c:pt idx="1">
                  <c:v>65.485001105735464</c:v>
                </c:pt>
                <c:pt idx="2">
                  <c:v>74.479984692250696</c:v>
                </c:pt>
                <c:pt idx="3">
                  <c:v>77.932653583133956</c:v>
                </c:pt>
                <c:pt idx="4">
                  <c:v>79.778767922353225</c:v>
                </c:pt>
                <c:pt idx="5">
                  <c:v>80.926065171542433</c:v>
                </c:pt>
                <c:pt idx="6">
                  <c:v>81.706628111588316</c:v>
                </c:pt>
                <c:pt idx="7">
                  <c:v>82.270778516816051</c:v>
                </c:pt>
                <c:pt idx="8">
                  <c:v>82.696473260422437</c:v>
                </c:pt>
                <c:pt idx="9">
                  <c:v>83.028177414145404</c:v>
                </c:pt>
                <c:pt idx="10">
                  <c:v>83.293109208656077</c:v>
                </c:pt>
                <c:pt idx="11">
                  <c:v>83.508865242599654</c:v>
                </c:pt>
                <c:pt idx="12">
                  <c:v>83.687328519464018</c:v>
                </c:pt>
                <c:pt idx="13">
                  <c:v>83.836814592466496</c:v>
                </c:pt>
                <c:pt idx="14">
                  <c:v>83.963317804146371</c:v>
                </c:pt>
                <c:pt idx="15">
                  <c:v>84.071269119755527</c:v>
                </c:pt>
                <c:pt idx="16">
                  <c:v>84.16401518782358</c:v>
                </c:pt>
                <c:pt idx="17">
                  <c:v>84.244131366324766</c:v>
                </c:pt>
                <c:pt idx="18">
                  <c:v>84.313632190950443</c:v>
                </c:pt>
                <c:pt idx="19">
                  <c:v>84.374116462451013</c:v>
                </c:pt>
                <c:pt idx="20">
                  <c:v>84.426869485639315</c:v>
                </c:pt>
                <c:pt idx="21">
                  <c:v>84.472936533563754</c:v>
                </c:pt>
                <c:pt idx="22">
                  <c:v>84.513176563898654</c:v>
                </c:pt>
                <c:pt idx="23">
                  <c:v>84.548302116644038</c:v>
                </c:pt>
                <c:pt idx="24">
                  <c:v>84.578909371203096</c:v>
                </c:pt>
                <c:pt idx="25">
                  <c:v>84.605501083644825</c:v>
                </c:pt>
                <c:pt idx="26">
                  <c:v>84.628504297762461</c:v>
                </c:pt>
                <c:pt idx="27">
                  <c:v>84.64828416893144</c:v>
                </c:pt>
                <c:pt idx="28">
                  <c:v>84.665154861464472</c:v>
                </c:pt>
                <c:pt idx="29">
                  <c:v>84.679388218008384</c:v>
                </c:pt>
                <c:pt idx="30">
                  <c:v>84.691220715205631</c:v>
                </c:pt>
                <c:pt idx="31">
                  <c:v>84.700859088497424</c:v>
                </c:pt>
                <c:pt idx="32">
                  <c:v>84.708484914179337</c:v>
                </c:pt>
                <c:pt idx="33">
                  <c:v>84.714258367653784</c:v>
                </c:pt>
                <c:pt idx="34">
                  <c:v>84.718321325796666</c:v>
                </c:pt>
                <c:pt idx="35">
                  <c:v>84.72079994333059</c:v>
                </c:pt>
                <c:pt idx="36">
                  <c:v>84.721806804494733</c:v>
                </c:pt>
                <c:pt idx="37">
                  <c:v>84.850002344615348</c:v>
                </c:pt>
                <c:pt idx="38">
                  <c:v>85.126922461902751</c:v>
                </c:pt>
                <c:pt idx="39">
                  <c:v>85.254278997398657</c:v>
                </c:pt>
                <c:pt idx="40">
                  <c:v>85.375544385851228</c:v>
                </c:pt>
                <c:pt idx="41">
                  <c:v>85.491509163288441</c:v>
                </c:pt>
                <c:pt idx="42">
                  <c:v>85.602518095967397</c:v>
                </c:pt>
                <c:pt idx="43">
                  <c:v>85.70888630109765</c:v>
                </c:pt>
                <c:pt idx="44">
                  <c:v>85.810902391650885</c:v>
                </c:pt>
                <c:pt idx="45">
                  <c:v>85.908831227201645</c:v>
                </c:pt>
                <c:pt idx="46">
                  <c:v>86.002916327401508</c:v>
                </c:pt>
                <c:pt idx="47">
                  <c:v>86.093381995559511</c:v>
                </c:pt>
                <c:pt idx="48">
                  <c:v>86.180435192297523</c:v>
                </c:pt>
                <c:pt idx="49">
                  <c:v>86.264267193057094</c:v>
                </c:pt>
                <c:pt idx="50">
                  <c:v>86.345055058103171</c:v>
                </c:pt>
                <c:pt idx="51">
                  <c:v>86.422962939400634</c:v>
                </c:pt>
                <c:pt idx="52">
                  <c:v>86.498143245174489</c:v>
                </c:pt>
                <c:pt idx="53">
                  <c:v>86.570737679977142</c:v>
                </c:pt>
                <c:pt idx="54">
                  <c:v>86.640878175573008</c:v>
                </c:pt>
                <c:pt idx="55">
                  <c:v>86.708687725830728</c:v>
                </c:pt>
                <c:pt idx="56">
                  <c:v>86.774281137017553</c:v>
                </c:pt>
                <c:pt idx="57">
                  <c:v>86.837765703367438</c:v>
                </c:pt>
                <c:pt idx="58">
                  <c:v>86.899241816494822</c:v>
                </c:pt>
                <c:pt idx="59">
                  <c:v>86.958803516118493</c:v>
                </c:pt>
                <c:pt idx="60">
                  <c:v>87.016538988609398</c:v>
                </c:pt>
                <c:pt idx="61">
                  <c:v>87.072531019060918</c:v>
                </c:pt>
                <c:pt idx="62">
                  <c:v>87.126857401878169</c:v>
                </c:pt>
                <c:pt idx="63">
                  <c:v>87.179591314276053</c:v>
                </c:pt>
                <c:pt idx="64">
                  <c:v>87.230801656551733</c:v>
                </c:pt>
                <c:pt idx="65">
                  <c:v>87.280553362542406</c:v>
                </c:pt>
                <c:pt idx="66">
                  <c:v>87.328907683283205</c:v>
                </c:pt>
                <c:pt idx="67">
                  <c:v>87.375922446536464</c:v>
                </c:pt>
                <c:pt idx="68">
                  <c:v>87.421652294561895</c:v>
                </c:pt>
                <c:pt idx="69">
                  <c:v>87.466148902234906</c:v>
                </c:pt>
                <c:pt idx="70">
                  <c:v>87.509461177389284</c:v>
                </c:pt>
                <c:pt idx="71">
                  <c:v>87.551635445057968</c:v>
                </c:pt>
                <c:pt idx="72">
                  <c:v>87.592715617107459</c:v>
                </c:pt>
                <c:pt idx="73">
                  <c:v>87.632743348604365</c:v>
                </c:pt>
                <c:pt idx="74">
                  <c:v>87.671758182113635</c:v>
                </c:pt>
                <c:pt idx="75">
                  <c:v>87.709797681005696</c:v>
                </c:pt>
                <c:pt idx="76">
                  <c:v>87.746897552740251</c:v>
                </c:pt>
                <c:pt idx="77">
                  <c:v>87.783091762999035</c:v>
                </c:pt>
                <c:pt idx="78">
                  <c:v>87.818412641452596</c:v>
                </c:pt>
                <c:pt idx="79">
                  <c:v>87.872924697476236</c:v>
                </c:pt>
                <c:pt idx="80">
                  <c:v>88.01404492276933</c:v>
                </c:pt>
                <c:pt idx="81">
                  <c:v>88.151153109876063</c:v>
                </c:pt>
                <c:pt idx="82">
                  <c:v>88.284407787316539</c:v>
                </c:pt>
                <c:pt idx="83">
                  <c:v>88.413959598355689</c:v>
                </c:pt>
                <c:pt idx="84">
                  <c:v>88.539951768270612</c:v>
                </c:pt>
                <c:pt idx="85">
                  <c:v>87.671971491167199</c:v>
                </c:pt>
                <c:pt idx="86">
                  <c:v>87.733478248730876</c:v>
                </c:pt>
                <c:pt idx="87">
                  <c:v>87.793170275542394</c:v>
                </c:pt>
                <c:pt idx="88">
                  <c:v>87.851116038622266</c:v>
                </c:pt>
                <c:pt idx="89">
                  <c:v>87.907380691652904</c:v>
                </c:pt>
                <c:pt idx="90">
                  <c:v>87.962026268997178</c:v>
                </c:pt>
                <c:pt idx="91">
                  <c:v>88.01511186647015</c:v>
                </c:pt>
                <c:pt idx="92">
                  <c:v>88.06669380989193</c:v>
                </c:pt>
                <c:pt idx="93">
                  <c:v>88.116825812360716</c:v>
                </c:pt>
                <c:pt idx="94">
                  <c:v>88.165559121104309</c:v>
                </c:pt>
                <c:pt idx="95">
                  <c:v>88.212942654695823</c:v>
                </c:pt>
                <c:pt idx="96">
                  <c:v>88.259023131352862</c:v>
                </c:pt>
                <c:pt idx="97">
                  <c:v>88.303845188979594</c:v>
                </c:pt>
                <c:pt idx="98">
                  <c:v>88.347451497557046</c:v>
                </c:pt>
                <c:pt idx="99">
                  <c:v>88.389882864436458</c:v>
                </c:pt>
                <c:pt idx="100">
                  <c:v>88.431178333046788</c:v>
                </c:pt>
              </c:numCache>
            </c:numRef>
          </c:val>
          <c:smooth val="0"/>
          <c:extLst>
            <c:ext xmlns:c16="http://schemas.microsoft.com/office/drawing/2014/chart" uri="{C3380CC4-5D6E-409C-BE32-E72D297353CC}">
              <c16:uniqueId val="{00000000-10EC-466C-87D4-77C756903F8E}"/>
            </c:ext>
          </c:extLst>
        </c:ser>
        <c:dLbls>
          <c:showLegendKey val="0"/>
          <c:showVal val="0"/>
          <c:showCatName val="0"/>
          <c:showSerName val="0"/>
          <c:showPercent val="0"/>
          <c:showBubbleSize val="0"/>
        </c:dLbls>
        <c:marker val="1"/>
        <c:smooth val="0"/>
        <c:axId val="143754368"/>
        <c:axId val="143756288"/>
      </c:lineChart>
      <c:lineChart>
        <c:grouping val="standard"/>
        <c:varyColors val="0"/>
        <c:ser>
          <c:idx val="2"/>
          <c:order val="1"/>
          <c:tx>
            <c:strRef>
              <c:f>'Calculations - Dual'!$BK$3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6.9999999999999997E-7</c:v>
                </c:pt>
                <c:pt idx="1">
                  <c:v>0.7</c:v>
                </c:pt>
                <c:pt idx="2">
                  <c:v>1.4</c:v>
                </c:pt>
                <c:pt idx="3">
                  <c:v>2.1</c:v>
                </c:pt>
                <c:pt idx="4">
                  <c:v>2.8</c:v>
                </c:pt>
                <c:pt idx="5">
                  <c:v>3.5000000000000004</c:v>
                </c:pt>
                <c:pt idx="6">
                  <c:v>4.2</c:v>
                </c:pt>
                <c:pt idx="7">
                  <c:v>4.9000000000000004</c:v>
                </c:pt>
                <c:pt idx="8">
                  <c:v>5.6</c:v>
                </c:pt>
                <c:pt idx="9">
                  <c:v>6.2999999999999989</c:v>
                </c:pt>
                <c:pt idx="10">
                  <c:v>7.0000000000000009</c:v>
                </c:pt>
                <c:pt idx="11">
                  <c:v>7.7</c:v>
                </c:pt>
                <c:pt idx="12">
                  <c:v>8.4</c:v>
                </c:pt>
                <c:pt idx="13">
                  <c:v>9.1</c:v>
                </c:pt>
                <c:pt idx="14">
                  <c:v>9.8000000000000007</c:v>
                </c:pt>
                <c:pt idx="15">
                  <c:v>10.499999999999998</c:v>
                </c:pt>
                <c:pt idx="16">
                  <c:v>11.2</c:v>
                </c:pt>
                <c:pt idx="17">
                  <c:v>11.9</c:v>
                </c:pt>
                <c:pt idx="18">
                  <c:v>12.599999999999998</c:v>
                </c:pt>
                <c:pt idx="19">
                  <c:v>13.3</c:v>
                </c:pt>
                <c:pt idx="20">
                  <c:v>14.000000000000002</c:v>
                </c:pt>
                <c:pt idx="21">
                  <c:v>14.7</c:v>
                </c:pt>
                <c:pt idx="22">
                  <c:v>15.4</c:v>
                </c:pt>
                <c:pt idx="23">
                  <c:v>16.100000000000001</c:v>
                </c:pt>
                <c:pt idx="24">
                  <c:v>16.8</c:v>
                </c:pt>
                <c:pt idx="25">
                  <c:v>17.499999999999996</c:v>
                </c:pt>
                <c:pt idx="26">
                  <c:v>18.2</c:v>
                </c:pt>
                <c:pt idx="27">
                  <c:v>18.899999999999999</c:v>
                </c:pt>
                <c:pt idx="28">
                  <c:v>19.600000000000001</c:v>
                </c:pt>
                <c:pt idx="29">
                  <c:v>20.299999999999997</c:v>
                </c:pt>
                <c:pt idx="30">
                  <c:v>20.999999999999996</c:v>
                </c:pt>
                <c:pt idx="31">
                  <c:v>21.699999999999996</c:v>
                </c:pt>
                <c:pt idx="32">
                  <c:v>22.4</c:v>
                </c:pt>
                <c:pt idx="33">
                  <c:v>23.099999999999998</c:v>
                </c:pt>
                <c:pt idx="34">
                  <c:v>23.8</c:v>
                </c:pt>
                <c:pt idx="35">
                  <c:v>24.499999999999996</c:v>
                </c:pt>
                <c:pt idx="36">
                  <c:v>25.199999999999996</c:v>
                </c:pt>
                <c:pt idx="37">
                  <c:v>25.899999999999995</c:v>
                </c:pt>
                <c:pt idx="38">
                  <c:v>26.6</c:v>
                </c:pt>
                <c:pt idx="39">
                  <c:v>27.300000000000004</c:v>
                </c:pt>
                <c:pt idx="40">
                  <c:v>28.000000000000004</c:v>
                </c:pt>
                <c:pt idx="41">
                  <c:v>28.7</c:v>
                </c:pt>
                <c:pt idx="42">
                  <c:v>29.4</c:v>
                </c:pt>
                <c:pt idx="43">
                  <c:v>30.1</c:v>
                </c:pt>
                <c:pt idx="44">
                  <c:v>30.8</c:v>
                </c:pt>
                <c:pt idx="45">
                  <c:v>31.5</c:v>
                </c:pt>
                <c:pt idx="46">
                  <c:v>32.200000000000003</c:v>
                </c:pt>
                <c:pt idx="47">
                  <c:v>32.9</c:v>
                </c:pt>
                <c:pt idx="48">
                  <c:v>33.6</c:v>
                </c:pt>
                <c:pt idx="49">
                  <c:v>34.299999999999997</c:v>
                </c:pt>
                <c:pt idx="50">
                  <c:v>34.999999999999993</c:v>
                </c:pt>
                <c:pt idx="51">
                  <c:v>35.700000000000003</c:v>
                </c:pt>
                <c:pt idx="52">
                  <c:v>36.4</c:v>
                </c:pt>
                <c:pt idx="53">
                  <c:v>37.1</c:v>
                </c:pt>
                <c:pt idx="54">
                  <c:v>37.799999999999997</c:v>
                </c:pt>
                <c:pt idx="55">
                  <c:v>38.5</c:v>
                </c:pt>
                <c:pt idx="56">
                  <c:v>39.200000000000003</c:v>
                </c:pt>
                <c:pt idx="57">
                  <c:v>39.899999999999991</c:v>
                </c:pt>
                <c:pt idx="58">
                  <c:v>40.599999999999994</c:v>
                </c:pt>
                <c:pt idx="59">
                  <c:v>41.3</c:v>
                </c:pt>
                <c:pt idx="60">
                  <c:v>41.999999999999993</c:v>
                </c:pt>
                <c:pt idx="61">
                  <c:v>42.699999999999996</c:v>
                </c:pt>
                <c:pt idx="62">
                  <c:v>43.399999999999991</c:v>
                </c:pt>
                <c:pt idx="63">
                  <c:v>44.1</c:v>
                </c:pt>
                <c:pt idx="64">
                  <c:v>44.8</c:v>
                </c:pt>
                <c:pt idx="65">
                  <c:v>45.5</c:v>
                </c:pt>
                <c:pt idx="66">
                  <c:v>46.199999999999996</c:v>
                </c:pt>
                <c:pt idx="67">
                  <c:v>46.9</c:v>
                </c:pt>
                <c:pt idx="68">
                  <c:v>47.6</c:v>
                </c:pt>
                <c:pt idx="69">
                  <c:v>48.29999999999999</c:v>
                </c:pt>
                <c:pt idx="70">
                  <c:v>48.999999999999993</c:v>
                </c:pt>
                <c:pt idx="71">
                  <c:v>49.699999999999996</c:v>
                </c:pt>
                <c:pt idx="72">
                  <c:v>50.399999999999991</c:v>
                </c:pt>
                <c:pt idx="73">
                  <c:v>51.099999999999994</c:v>
                </c:pt>
                <c:pt idx="74">
                  <c:v>51.79999999999999</c:v>
                </c:pt>
                <c:pt idx="75">
                  <c:v>52.500000000000007</c:v>
                </c:pt>
                <c:pt idx="76">
                  <c:v>53.2</c:v>
                </c:pt>
                <c:pt idx="77">
                  <c:v>53.900000000000006</c:v>
                </c:pt>
                <c:pt idx="78">
                  <c:v>54.600000000000009</c:v>
                </c:pt>
                <c:pt idx="79">
                  <c:v>55.300000000000011</c:v>
                </c:pt>
                <c:pt idx="80">
                  <c:v>56.000000000000007</c:v>
                </c:pt>
                <c:pt idx="81">
                  <c:v>56.70000000000001</c:v>
                </c:pt>
                <c:pt idx="82">
                  <c:v>57.4</c:v>
                </c:pt>
                <c:pt idx="83">
                  <c:v>58.1</c:v>
                </c:pt>
                <c:pt idx="84">
                  <c:v>58.8</c:v>
                </c:pt>
                <c:pt idx="85">
                  <c:v>59.5</c:v>
                </c:pt>
                <c:pt idx="86">
                  <c:v>60.2</c:v>
                </c:pt>
                <c:pt idx="87">
                  <c:v>60.900000000000006</c:v>
                </c:pt>
                <c:pt idx="88">
                  <c:v>61.6</c:v>
                </c:pt>
                <c:pt idx="89">
                  <c:v>62.300000000000004</c:v>
                </c:pt>
                <c:pt idx="90">
                  <c:v>63</c:v>
                </c:pt>
                <c:pt idx="91">
                  <c:v>63.70000000000001</c:v>
                </c:pt>
                <c:pt idx="92">
                  <c:v>64.400000000000006</c:v>
                </c:pt>
                <c:pt idx="93">
                  <c:v>65.100000000000009</c:v>
                </c:pt>
                <c:pt idx="94">
                  <c:v>65.8</c:v>
                </c:pt>
                <c:pt idx="95">
                  <c:v>66.499999999999986</c:v>
                </c:pt>
                <c:pt idx="96">
                  <c:v>67.2</c:v>
                </c:pt>
                <c:pt idx="97">
                  <c:v>67.900000000000006</c:v>
                </c:pt>
                <c:pt idx="98">
                  <c:v>68.599999999999994</c:v>
                </c:pt>
                <c:pt idx="99">
                  <c:v>69.3</c:v>
                </c:pt>
                <c:pt idx="100">
                  <c:v>69.999999999999986</c:v>
                </c:pt>
              </c:numCache>
            </c:numRef>
          </c:val>
          <c:smooth val="0"/>
          <c:extLst>
            <c:ext xmlns:c16="http://schemas.microsoft.com/office/drawing/2014/chart" uri="{C3380CC4-5D6E-409C-BE32-E72D297353CC}">
              <c16:uniqueId val="{00000001-10EC-466C-87D4-77C756903F8E}"/>
            </c:ext>
          </c:extLst>
        </c:ser>
        <c:ser>
          <c:idx val="3"/>
          <c:order val="2"/>
          <c:tx>
            <c:strRef>
              <c:f>'Calculations - Dual'!$BE$3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Dual'!$BJ$5:$BJ$105</c:f>
              <c:numCache>
                <c:formatCode>0.0</c:formatCode>
                <c:ptCount val="101"/>
                <c:pt idx="0">
                  <c:v>9.0175424513888895</c:v>
                </c:pt>
                <c:pt idx="1">
                  <c:v>9.0175424513888895</c:v>
                </c:pt>
                <c:pt idx="2">
                  <c:v>10.900310667133654</c:v>
                </c:pt>
                <c:pt idx="3">
                  <c:v>12.87046600070048</c:v>
                </c:pt>
                <c:pt idx="4">
                  <c:v>14.840621334267306</c:v>
                </c:pt>
                <c:pt idx="5">
                  <c:v>16.810776667834137</c:v>
                </c:pt>
                <c:pt idx="6">
                  <c:v>18.780932001400959</c:v>
                </c:pt>
                <c:pt idx="7">
                  <c:v>20.751087334967792</c:v>
                </c:pt>
                <c:pt idx="8">
                  <c:v>22.721242668534614</c:v>
                </c:pt>
                <c:pt idx="9">
                  <c:v>24.69139800210144</c:v>
                </c:pt>
                <c:pt idx="10">
                  <c:v>26.661553335668277</c:v>
                </c:pt>
                <c:pt idx="11">
                  <c:v>28.631708669235095</c:v>
                </c:pt>
                <c:pt idx="12">
                  <c:v>30.601864002801921</c:v>
                </c:pt>
                <c:pt idx="13">
                  <c:v>32.572019336368754</c:v>
                </c:pt>
                <c:pt idx="14">
                  <c:v>34.542174669935584</c:v>
                </c:pt>
                <c:pt idx="15">
                  <c:v>36.512330003502399</c:v>
                </c:pt>
                <c:pt idx="16">
                  <c:v>38.482485337069228</c:v>
                </c:pt>
                <c:pt idx="17">
                  <c:v>40.45264067063605</c:v>
                </c:pt>
                <c:pt idx="18">
                  <c:v>42.42279600420288</c:v>
                </c:pt>
                <c:pt idx="19">
                  <c:v>44.392951337769723</c:v>
                </c:pt>
                <c:pt idx="20">
                  <c:v>46.363106671336553</c:v>
                </c:pt>
                <c:pt idx="21">
                  <c:v>48.333262004903361</c:v>
                </c:pt>
                <c:pt idx="22">
                  <c:v>50.30341733847019</c:v>
                </c:pt>
                <c:pt idx="23">
                  <c:v>52.27357267203702</c:v>
                </c:pt>
                <c:pt idx="24">
                  <c:v>54.243728005603842</c:v>
                </c:pt>
                <c:pt idx="25">
                  <c:v>56.213883339170678</c:v>
                </c:pt>
                <c:pt idx="26">
                  <c:v>58.184038672737508</c:v>
                </c:pt>
                <c:pt idx="27">
                  <c:v>60.15419400630433</c:v>
                </c:pt>
                <c:pt idx="28">
                  <c:v>62.124349339871166</c:v>
                </c:pt>
                <c:pt idx="29">
                  <c:v>64.094504673437967</c:v>
                </c:pt>
                <c:pt idx="30">
                  <c:v>66.064660007004804</c:v>
                </c:pt>
                <c:pt idx="31">
                  <c:v>68.03481534057164</c:v>
                </c:pt>
                <c:pt idx="32">
                  <c:v>70.004970674138448</c:v>
                </c:pt>
                <c:pt idx="33">
                  <c:v>71.975126007705285</c:v>
                </c:pt>
                <c:pt idx="34">
                  <c:v>73.945281341272093</c:v>
                </c:pt>
                <c:pt idx="35">
                  <c:v>75.915436674838929</c:v>
                </c:pt>
                <c:pt idx="36">
                  <c:v>77.885592008405752</c:v>
                </c:pt>
                <c:pt idx="37">
                  <c:v>78.97398579861111</c:v>
                </c:pt>
                <c:pt idx="38">
                  <c:v>78.97398579861111</c:v>
                </c:pt>
                <c:pt idx="39">
                  <c:v>79.55517922487121</c:v>
                </c:pt>
                <c:pt idx="40">
                  <c:v>80.132989357781014</c:v>
                </c:pt>
                <c:pt idx="41">
                  <c:v>80.705917132270898</c:v>
                </c:pt>
                <c:pt idx="42">
                  <c:v>81.274167961735259</c:v>
                </c:pt>
                <c:pt idx="43">
                  <c:v>81.837934772260368</c:v>
                </c:pt>
                <c:pt idx="44">
                  <c:v>82.397399024912303</c:v>
                </c:pt>
                <c:pt idx="45">
                  <c:v>82.952731633378463</c:v>
                </c:pt>
                <c:pt idx="46">
                  <c:v>83.504093789737183</c:v>
                </c:pt>
                <c:pt idx="47">
                  <c:v>84.051637709329668</c:v>
                </c:pt>
                <c:pt idx="48">
                  <c:v>84.595507304193077</c:v>
                </c:pt>
                <c:pt idx="49">
                  <c:v>85.135838793235862</c:v>
                </c:pt>
                <c:pt idx="50">
                  <c:v>85.672761256252826</c:v>
                </c:pt>
                <c:pt idx="51">
                  <c:v>86.206397137956131</c:v>
                </c:pt>
                <c:pt idx="52">
                  <c:v>86.736862707412413</c:v>
                </c:pt>
                <c:pt idx="53">
                  <c:v>87.264268477603679</c:v>
                </c:pt>
                <c:pt idx="54">
                  <c:v>87.78871958925113</c:v>
                </c:pt>
                <c:pt idx="55">
                  <c:v>88.310316162543913</c:v>
                </c:pt>
                <c:pt idx="56">
                  <c:v>88.829153619984169</c:v>
                </c:pt>
                <c:pt idx="57">
                  <c:v>89.345322983188012</c:v>
                </c:pt>
                <c:pt idx="58">
                  <c:v>89.858911146157638</c:v>
                </c:pt>
                <c:pt idx="59">
                  <c:v>90.37000112725876</c:v>
                </c:pt>
                <c:pt idx="60">
                  <c:v>90.878672301890816</c:v>
                </c:pt>
                <c:pt idx="61">
                  <c:v>91.385000617622723</c:v>
                </c:pt>
                <c:pt idx="62">
                  <c:v>91.889058793377828</c:v>
                </c:pt>
                <c:pt idx="63">
                  <c:v>92.390916504085467</c:v>
                </c:pt>
                <c:pt idx="64">
                  <c:v>92.89064055207055</c:v>
                </c:pt>
                <c:pt idx="65">
                  <c:v>93.38829502632359</c:v>
                </c:pt>
                <c:pt idx="66">
                  <c:v>93.883941450678435</c:v>
                </c:pt>
                <c:pt idx="67">
                  <c:v>94.37763892182528</c:v>
                </c:pt>
                <c:pt idx="68">
                  <c:v>94.869444237994429</c:v>
                </c:pt>
                <c:pt idx="69">
                  <c:v>95.359412019068586</c:v>
                </c:pt>
                <c:pt idx="70">
                  <c:v>95.84759481880819</c:v>
                </c:pt>
                <c:pt idx="71">
                  <c:v>96.33404322981157</c:v>
                </c:pt>
                <c:pt idx="72">
                  <c:v>96.818805981774688</c:v>
                </c:pt>
                <c:pt idx="73">
                  <c:v>97.301930033563835</c:v>
                </c:pt>
                <c:pt idx="74">
                  <c:v>97.783460659569272</c:v>
                </c:pt>
                <c:pt idx="75">
                  <c:v>98.263441530766286</c:v>
                </c:pt>
                <c:pt idx="76">
                  <c:v>98.741914790873153</c:v>
                </c:pt>
                <c:pt idx="77">
                  <c:v>99.218921127962602</c:v>
                </c:pt>
                <c:pt idx="78">
                  <c:v>99.694499841852675</c:v>
                </c:pt>
                <c:pt idx="79">
                  <c:v>99.95267482230831</c:v>
                </c:pt>
                <c:pt idx="80">
                  <c:v>99.256109948032346</c:v>
                </c:pt>
                <c:pt idx="81">
                  <c:v>98.575462276996561</c:v>
                </c:pt>
                <c:pt idx="82">
                  <c:v>97.910182485493763</c:v>
                </c:pt>
                <c:pt idx="83">
                  <c:v>97.259746673972003</c:v>
                </c:pt>
                <c:pt idx="84">
                  <c:v>96.623654898314669</c:v>
                </c:pt>
                <c:pt idx="85">
                  <c:v>103.15102840188914</c:v>
                </c:pt>
                <c:pt idx="86">
                  <c:v>103.02495520421587</c:v>
                </c:pt>
                <c:pt idx="87">
                  <c:v>102.90940263769046</c:v>
                </c:pt>
                <c:pt idx="88">
                  <c:v>102.80409966976504</c:v>
                </c:pt>
                <c:pt idx="89">
                  <c:v>102.70878744912996</c:v>
                </c:pt>
                <c:pt idx="90">
                  <c:v>102.62321862897822</c:v>
                </c:pt>
                <c:pt idx="91">
                  <c:v>102.54715673488988</c:v>
                </c:pt>
                <c:pt idx="92">
                  <c:v>102.48037557394157</c:v>
                </c:pt>
                <c:pt idx="93">
                  <c:v>102.42265868193782</c:v>
                </c:pt>
                <c:pt idx="94">
                  <c:v>102.37379880592543</c:v>
                </c:pt>
                <c:pt idx="95">
                  <c:v>102.33359741939141</c:v>
                </c:pt>
                <c:pt idx="96">
                  <c:v>102.30186426776083</c:v>
                </c:pt>
                <c:pt idx="97">
                  <c:v>102.27841694200819</c:v>
                </c:pt>
                <c:pt idx="98">
                  <c:v>102.26308047837429</c:v>
                </c:pt>
                <c:pt idx="99">
                  <c:v>102.25568698234291</c:v>
                </c:pt>
                <c:pt idx="100">
                  <c:v>102.25607527517829</c:v>
                </c:pt>
              </c:numCache>
            </c:numRef>
          </c:val>
          <c:smooth val="0"/>
          <c:extLst>
            <c:ext xmlns:c16="http://schemas.microsoft.com/office/drawing/2014/chart" uri="{C3380CC4-5D6E-409C-BE32-E72D297353CC}">
              <c16:uniqueId val="{00000002-10EC-466C-87D4-77C756903F8E}"/>
            </c:ext>
          </c:extLst>
        </c:ser>
        <c:ser>
          <c:idx val="1"/>
          <c:order val="3"/>
          <c:tx>
            <c:strRef>
              <c:f>'Calculations - Dual'!$BP$3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Dual'!$BU$5:$BU$105</c:f>
              <c:numCache>
                <c:formatCode>0.0</c:formatCode>
                <c:ptCount val="101"/>
                <c:pt idx="0">
                  <c:v>1.5089897931596266</c:v>
                </c:pt>
                <c:pt idx="1">
                  <c:v>1.5089897931596266</c:v>
                </c:pt>
                <c:pt idx="2">
                  <c:v>2.2962639240428375</c:v>
                </c:pt>
                <c:pt idx="3">
                  <c:v>3.1234057103856121</c:v>
                </c:pt>
                <c:pt idx="4">
                  <c:v>3.9547105802630633</c:v>
                </c:pt>
                <c:pt idx="5">
                  <c:v>4.7908275547947463</c:v>
                </c:pt>
                <c:pt idx="6">
                  <c:v>5.6323271842076768</c:v>
                </c:pt>
                <c:pt idx="7">
                  <c:v>6.479724732191797</c:v>
                </c:pt>
                <c:pt idx="8">
                  <c:v>7.3334937449364173</c:v>
                </c:pt>
                <c:pt idx="9">
                  <c:v>8.194074822140399</c:v>
                </c:pt>
                <c:pt idx="10">
                  <c:v>9.0618816803274544</c:v>
                </c:pt>
                <c:pt idx="11">
                  <c:v>9.9373055537944239</c:v>
                </c:pt>
                <c:pt idx="12">
                  <c:v>10.820718509857031</c:v>
                </c:pt>
                <c:pt idx="13">
                  <c:v>11.712476020497963</c:v>
                </c:pt>
                <c:pt idx="14">
                  <c:v>12.612919005119187</c:v>
                </c:pt>
                <c:pt idx="15">
                  <c:v>13.52237548534589</c:v>
                </c:pt>
                <c:pt idx="16">
                  <c:v>14.441161947887284</c:v>
                </c:pt>
                <c:pt idx="17">
                  <c:v>15.369584482893865</c:v>
                </c:pt>
                <c:pt idx="18">
                  <c:v>16.307939746440127</c:v>
                </c:pt>
                <c:pt idx="19">
                  <c:v>17.256515782995375</c:v>
                </c:pt>
                <c:pt idx="20">
                  <c:v>18.215592734852979</c:v>
                </c:pt>
                <c:pt idx="21">
                  <c:v>19.185443459152147</c:v>
                </c:pt>
                <c:pt idx="22">
                  <c:v>20.16633406852046</c:v>
                </c:pt>
                <c:pt idx="23">
                  <c:v>21.158524407957572</c:v>
                </c:pt>
                <c:pt idx="24">
                  <c:v>22.162268478018621</c:v>
                </c:pt>
                <c:pt idx="25">
                  <c:v>23.177814812402744</c:v>
                </c:pt>
                <c:pt idx="26">
                  <c:v>24.205406816543292</c:v>
                </c:pt>
                <c:pt idx="27">
                  <c:v>25.245283072617489</c:v>
                </c:pt>
                <c:pt idx="28">
                  <c:v>26.297677615462227</c:v>
                </c:pt>
                <c:pt idx="29">
                  <c:v>27.362820183139771</c:v>
                </c:pt>
                <c:pt idx="30">
                  <c:v>28.440936445299823</c:v>
                </c:pt>
                <c:pt idx="31">
                  <c:v>29.532248211998908</c:v>
                </c:pt>
                <c:pt idx="32">
                  <c:v>30.636973625241954</c:v>
                </c:pt>
                <c:pt idx="33">
                  <c:v>31.755327335183708</c:v>
                </c:pt>
                <c:pt idx="34">
                  <c:v>32.887520662657188</c:v>
                </c:pt>
                <c:pt idx="35">
                  <c:v>34.033761749470159</c:v>
                </c:pt>
                <c:pt idx="36">
                  <c:v>35.194255697721175</c:v>
                </c:pt>
                <c:pt idx="37">
                  <c:v>35.841545400974503</c:v>
                </c:pt>
                <c:pt idx="38">
                  <c:v>35.841545400974503</c:v>
                </c:pt>
                <c:pt idx="39">
                  <c:v>36.824065745750126</c:v>
                </c:pt>
                <c:pt idx="40">
                  <c:v>37.810866964143415</c:v>
                </c:pt>
                <c:pt idx="41">
                  <c:v>38.799035285869905</c:v>
                </c:pt>
                <c:pt idx="42">
                  <c:v>39.788547362924227</c:v>
                </c:pt>
                <c:pt idx="43">
                  <c:v>40.779380802717839</c:v>
                </c:pt>
                <c:pt idx="44">
                  <c:v>41.771514107489793</c:v>
                </c:pt>
                <c:pt idx="45">
                  <c:v>42.764926618857864</c:v>
                </c:pt>
                <c:pt idx="46">
                  <c:v>43.759598466969152</c:v>
                </c:pt>
                <c:pt idx="47">
                  <c:v>44.755510523776358</c:v>
                </c:pt>
                <c:pt idx="48">
                  <c:v>45.752644360023758</c:v>
                </c:pt>
                <c:pt idx="49">
                  <c:v>46.750982205576712</c:v>
                </c:pt>
                <c:pt idx="50">
                  <c:v>47.750506912771982</c:v>
                </c:pt>
                <c:pt idx="51">
                  <c:v>48.75120192250224</c:v>
                </c:pt>
                <c:pt idx="52">
                  <c:v>49.753051232780884</c:v>
                </c:pt>
                <c:pt idx="53">
                  <c:v>50.756039369561869</c:v>
                </c:pt>
                <c:pt idx="54">
                  <c:v>51.760151359612522</c:v>
                </c:pt>
                <c:pt idx="55">
                  <c:v>52.765372705259594</c:v>
                </c:pt>
                <c:pt idx="56">
                  <c:v>53.771689360847361</c:v>
                </c:pt>
                <c:pt idx="57">
                  <c:v>54.779087710763115</c:v>
                </c:pt>
                <c:pt idx="58">
                  <c:v>55.787554548899578</c:v>
                </c:pt>
                <c:pt idx="59">
                  <c:v>56.797077059437555</c:v>
                </c:pt>
                <c:pt idx="60">
                  <c:v>57.807642798842238</c:v>
                </c:pt>
                <c:pt idx="61">
                  <c:v>58.819239678978107</c:v>
                </c:pt>
                <c:pt idx="62">
                  <c:v>59.831855951255392</c:v>
                </c:pt>
                <c:pt idx="63">
                  <c:v>60.845480191729109</c:v>
                </c:pt>
                <c:pt idx="64">
                  <c:v>61.860101287079637</c:v>
                </c:pt>
                <c:pt idx="65">
                  <c:v>62.875708421409406</c:v>
                </c:pt>
                <c:pt idx="66">
                  <c:v>63.892291063796208</c:v>
                </c:pt>
                <c:pt idx="67">
                  <c:v>64.909838956549294</c:v>
                </c:pt>
                <c:pt idx="68">
                  <c:v>65.928342104118116</c:v>
                </c:pt>
                <c:pt idx="69">
                  <c:v>66.947790762608761</c:v>
                </c:pt>
                <c:pt idx="70">
                  <c:v>67.968175429866363</c:v>
                </c:pt>
                <c:pt idx="71">
                  <c:v>68.989486836084978</c:v>
                </c:pt>
                <c:pt idx="72">
                  <c:v>70.011715934910029</c:v>
                </c:pt>
                <c:pt idx="73">
                  <c:v>71.034853895001049</c:v>
                </c:pt>
                <c:pt idx="74">
                  <c:v>72.058892092024692</c:v>
                </c:pt>
                <c:pt idx="75">
                  <c:v>73.083822101050771</c:v>
                </c:pt>
                <c:pt idx="76">
                  <c:v>74.109635689325401</c:v>
                </c:pt>
                <c:pt idx="77">
                  <c:v>75.136324809398602</c:v>
                </c:pt>
                <c:pt idx="78">
                  <c:v>76.163881592584048</c:v>
                </c:pt>
                <c:pt idx="79">
                  <c:v>76.971638660030976</c:v>
                </c:pt>
                <c:pt idx="80">
                  <c:v>76.798529394163594</c:v>
                </c:pt>
                <c:pt idx="81">
                  <c:v>76.63092599281832</c:v>
                </c:pt>
                <c:pt idx="82">
                  <c:v>76.468609166690698</c:v>
                </c:pt>
                <c:pt idx="83">
                  <c:v>76.311370863534037</c:v>
                </c:pt>
                <c:pt idx="84">
                  <c:v>76.159013566140004</c:v>
                </c:pt>
                <c:pt idx="85">
                  <c:v>91.933136133414976</c:v>
                </c:pt>
                <c:pt idx="86">
                  <c:v>92.889529169368629</c:v>
                </c:pt>
                <c:pt idx="87">
                  <c:v>93.84704252082355</c:v>
                </c:pt>
                <c:pt idx="88">
                  <c:v>94.805676187779497</c:v>
                </c:pt>
                <c:pt idx="89">
                  <c:v>95.76543017023657</c:v>
                </c:pt>
                <c:pt idx="90">
                  <c:v>96.726304468194911</c:v>
                </c:pt>
                <c:pt idx="91">
                  <c:v>97.688299081654279</c:v>
                </c:pt>
                <c:pt idx="92">
                  <c:v>98.651414010614843</c:v>
                </c:pt>
                <c:pt idx="93">
                  <c:v>99.615649255076519</c:v>
                </c:pt>
                <c:pt idx="94">
                  <c:v>100.58100481503936</c:v>
                </c:pt>
                <c:pt idx="95">
                  <c:v>101.54748069050336</c:v>
                </c:pt>
                <c:pt idx="96">
                  <c:v>102.51507688146843</c:v>
                </c:pt>
                <c:pt idx="97">
                  <c:v>103.48379338793474</c:v>
                </c:pt>
                <c:pt idx="98">
                  <c:v>104.45363020990212</c:v>
                </c:pt>
                <c:pt idx="99">
                  <c:v>105.42458734737065</c:v>
                </c:pt>
                <c:pt idx="100">
                  <c:v>106.39666480034032</c:v>
                </c:pt>
              </c:numCache>
            </c:numRef>
          </c:val>
          <c:smooth val="0"/>
          <c:extLst>
            <c:ext xmlns:c16="http://schemas.microsoft.com/office/drawing/2014/chart" uri="{C3380CC4-5D6E-409C-BE32-E72D297353CC}">
              <c16:uniqueId val="{00000003-10EC-466C-87D4-77C756903F8E}"/>
            </c:ext>
          </c:extLst>
        </c:ser>
        <c:dLbls>
          <c:showLegendKey val="0"/>
          <c:showVal val="0"/>
          <c:showCatName val="0"/>
          <c:showSerName val="0"/>
          <c:showPercent val="0"/>
          <c:showBubbleSize val="0"/>
        </c:dLbls>
        <c:marker val="1"/>
        <c:smooth val="0"/>
        <c:axId val="143776768"/>
        <c:axId val="143774848"/>
      </c:lineChart>
      <c:catAx>
        <c:axId val="143754368"/>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cs-CZ"/>
          </a:p>
        </c:txPr>
        <c:crossAx val="143756288"/>
        <c:crosses val="autoZero"/>
        <c:auto val="1"/>
        <c:lblAlgn val="ctr"/>
        <c:lblOffset val="100"/>
        <c:tickLblSkip val="20"/>
        <c:tickMarkSkip val="20"/>
        <c:noMultiLvlLbl val="0"/>
      </c:catAx>
      <c:valAx>
        <c:axId val="143756288"/>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cs-CZ"/>
          </a:p>
        </c:txPr>
        <c:crossAx val="143754368"/>
        <c:crossesAt val="0"/>
        <c:crossBetween val="between"/>
        <c:majorUnit val="5"/>
        <c:minorUnit val="2.5"/>
      </c:valAx>
      <c:valAx>
        <c:axId val="143774848"/>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cs-CZ"/>
          </a:p>
        </c:txPr>
        <c:crossAx val="143776768"/>
        <c:crosses val="max"/>
        <c:crossBetween val="between"/>
      </c:valAx>
      <c:catAx>
        <c:axId val="143776768"/>
        <c:scaling>
          <c:orientation val="minMax"/>
        </c:scaling>
        <c:delete val="1"/>
        <c:axPos val="b"/>
        <c:numFmt formatCode="General" sourceLinked="1"/>
        <c:majorTickMark val="out"/>
        <c:minorTickMark val="none"/>
        <c:tickLblPos val="nextTo"/>
        <c:crossAx val="143774848"/>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cs-CZ"/>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cs-CZ"/>
    </a:p>
  </c:txPr>
  <c:printSettings>
    <c:headerFooter alignWithMargins="0"/>
    <c:pageMargins b="1" l="0.750000000000006" r="0.750000000000006" t="1" header="0.5" footer="0.5"/>
    <c:pageSetup paperSize="5" orientation="portrait"/>
  </c:printSettings>
</c:chartSpace>
</file>

<file path=xl/ctrlProps/ctrlProp1.xml><?xml version="1.0" encoding="utf-8"?>
<formControlPr xmlns="http://schemas.microsoft.com/office/spreadsheetml/2009/9/main" objectType="Spin" dx="16" fmlaLink="$E$7" max="65" min="3" page="10" val="24"/>
</file>

<file path=xl/ctrlProps/ctrlProp10.xml><?xml version="1.0" encoding="utf-8"?>
<formControlPr xmlns="http://schemas.microsoft.com/office/spreadsheetml/2009/9/main" objectType="Drop" dropStyle="combo" dx="16" fmlaLink="$Q$41" fmlaRange="'Variable Mgmt'!$R$56:$R$58" noThreeD="1" sel="1" val="0"/>
</file>

<file path=xl/ctrlProps/ctrlProp11.xml><?xml version="1.0" encoding="utf-8"?>
<formControlPr xmlns="http://schemas.microsoft.com/office/spreadsheetml/2009/9/main" objectType="Drop" dropStyle="combo" dx="16" fmlaLink="$Q$38" fmlaRange="'Variable Mgmt'!$W$65:$W$68" noThreeD="1" sel="3" val="0"/>
</file>

<file path=xl/ctrlProps/ctrlProp12.xml><?xml version="1.0" encoding="utf-8"?>
<formControlPr xmlns="http://schemas.microsoft.com/office/spreadsheetml/2009/9/main" objectType="Drop" dropStyle="combo" dx="16" fmlaLink="$Q$37" fmlaRange="'Variable Mgmt'!$W$65:$W$68" noThreeD="1" sel="2" val="0"/>
</file>

<file path=xl/ctrlProps/ctrlProp13.xml><?xml version="1.0" encoding="utf-8"?>
<formControlPr xmlns="http://schemas.microsoft.com/office/spreadsheetml/2009/9/main" objectType="Drop" dropStyle="combo" dx="16" fmlaLink="$Q$40" fmlaRange="'Variable Mgmt'!$R$56:$R$58" noThreeD="1" sel="1" val="0"/>
</file>

<file path=xl/ctrlProps/ctrlProp14.xml><?xml version="1.0" encoding="utf-8"?>
<formControlPr xmlns="http://schemas.microsoft.com/office/spreadsheetml/2009/9/main" objectType="Drop" dropStyle="combo" dx="16" fmlaLink="$Q$42" fmlaRange="'Variable Mgmt'!$R$56:$R$58" noThreeD="1" sel="1" val="0"/>
</file>

<file path=xl/ctrlProps/ctrlProp15.xml><?xml version="1.0" encoding="utf-8"?>
<formControlPr xmlns="http://schemas.microsoft.com/office/spreadsheetml/2009/9/main" objectType="Drop" dropStyle="combo" dx="16" fmlaLink="$Q$43" fmlaRange="'Variable Mgmt'!$R$56:$R$58" noThreeD="1" sel="1" val="0"/>
</file>

<file path=xl/ctrlProps/ctrlProp16.xml><?xml version="1.0" encoding="utf-8"?>
<formControlPr xmlns="http://schemas.microsoft.com/office/spreadsheetml/2009/9/main" objectType="Drop" dropStyle="combo" dx="16" fmlaLink="$Q$44" fmlaRange="'Variable Mgmt'!$R$56:$R$58" noThreeD="1" sel="1" val="0"/>
</file>

<file path=xl/ctrlProps/ctrlProp17.xml><?xml version="1.0" encoding="utf-8"?>
<formControlPr xmlns="http://schemas.microsoft.com/office/spreadsheetml/2009/9/main" objectType="Drop" dropStyle="combo" dx="16" fmlaLink="$Q$35" fmlaRange="'Variable Mgmt'!$W$65:$W$68" noThreeD="1" sel="3" val="0"/>
</file>

<file path=xl/ctrlProps/ctrlProp18.xml><?xml version="1.0" encoding="utf-8"?>
<formControlPr xmlns="http://schemas.microsoft.com/office/spreadsheetml/2009/9/main" objectType="Drop" dropStyle="combo" dx="16" fmlaLink="$Q$45" fmlaRange="'Variable Mgmt'!$R$65:$R$71" noThreeD="1" sel="5" val="0"/>
</file>

<file path=xl/ctrlProps/ctrlProp19.xml><?xml version="1.0" encoding="utf-8"?>
<formControlPr xmlns="http://schemas.microsoft.com/office/spreadsheetml/2009/9/main" objectType="Drop" dropStyle="combo" dx="16" fmlaLink="$Q$34" fmlaRange="'Variable Mgmt'!$R$56:$R$58" noThreeD="1" sel="1" val="0"/>
</file>

<file path=xl/ctrlProps/ctrlProp2.xml><?xml version="1.0" encoding="utf-8"?>
<formControlPr xmlns="http://schemas.microsoft.com/office/spreadsheetml/2009/9/main" objectType="Drop" dropStyle="combo" dx="16" fmlaLink="'Variable Mgmt'!$J$56" fmlaRange="'Variable Mgmt'!$I$54:$I$55" noThreeD="1" sel="1" val="0"/>
</file>

<file path=xl/ctrlProps/ctrlProp20.xml><?xml version="1.0" encoding="utf-8"?>
<formControlPr xmlns="http://schemas.microsoft.com/office/spreadsheetml/2009/9/main" objectType="Drop" dropStyle="combo" dx="16" fmlaLink="$Q$33" fmlaRange="'Variable Mgmt'!$R$56:$R$60" noThreeD="1" sel="5" val="0"/>
</file>

<file path=xl/ctrlProps/ctrlProp21.xml><?xml version="1.0" encoding="utf-8"?>
<formControlPr xmlns="http://schemas.microsoft.com/office/spreadsheetml/2009/9/main" objectType="Drop" dropStyle="combo" dx="16" fmlaLink="$Q$39" fmlaRange="'Variable Mgmt'!$W$65:$W$68" noThreeD="1" sel="1" val="0"/>
</file>

<file path=xl/ctrlProps/ctrlProp22.xml><?xml version="1.0" encoding="utf-8"?>
<formControlPr xmlns="http://schemas.microsoft.com/office/spreadsheetml/2009/9/main" objectType="Drop" dropLines="2" dropStyle="combo" dx="16" fmlaLink="'Variable Mgmt'!$M$56" fmlaRange="'Variable Mgmt'!$L$54:$L$55" noThreeD="1" sel="1" val="0"/>
</file>

<file path=xl/ctrlProps/ctrlProp3.xml><?xml version="1.0" encoding="utf-8"?>
<formControlPr xmlns="http://schemas.microsoft.com/office/spreadsheetml/2009/9/main" objectType="Drop" dropLines="2" dropStyle="combo" dx="16" fmlaLink="'Variable Mgmt'!$G$56" fmlaRange="'Variable Mgmt'!$F$54:$F$55" noThreeD="1" sel="1" val="0"/>
</file>

<file path=xl/ctrlProps/ctrlProp4.xml><?xml version="1.0" encoding="utf-8"?>
<formControlPr xmlns="http://schemas.microsoft.com/office/spreadsheetml/2009/9/main" objectType="Drop" dropLines="10" dropStyle="combo" dx="16" fmlaLink="'Variable Mgmt'!$S$38" fmlaRange="'Variable Mgmt'!$R$28:$R$37" noThreeD="1" sel="4" val="0"/>
</file>

<file path=xl/ctrlProps/ctrlProp5.xml><?xml version="1.0" encoding="utf-8"?>
<formControlPr xmlns="http://schemas.microsoft.com/office/spreadsheetml/2009/9/main" objectType="Drop" dropStyle="combo" dx="16" fmlaLink="'Variable Mgmt'!$G$50" fmlaRange="'Variable Mgmt'!$F$48:$F$49" noThreeD="1" sel="2" val="0"/>
</file>

<file path=xl/ctrlProps/ctrlProp6.xml><?xml version="1.0" encoding="utf-8"?>
<formControlPr xmlns="http://schemas.microsoft.com/office/spreadsheetml/2009/9/main" objectType="Drop" dropLines="10" dropStyle="combo" dx="16" fmlaLink="'Variable Mgmt'!$C$51" fmlaRange="'Variable Mgmt'!$B$48:$B$49" noThreeD="1" sel="2" val="0"/>
</file>

<file path=xl/ctrlProps/ctrlProp7.xml><?xml version="1.0" encoding="utf-8"?>
<formControlPr xmlns="http://schemas.microsoft.com/office/spreadsheetml/2009/9/main" objectType="Drop" dropStyle="combo" dx="16" fmlaLink="'BOM &amp; Schematic'!$Q$31" fmlaRange="'Variable Mgmt'!$R$56:$R$60" noThreeD="1" sel="5" val="0"/>
</file>

<file path=xl/ctrlProps/ctrlProp8.xml><?xml version="1.0" encoding="utf-8"?>
<formControlPr xmlns="http://schemas.microsoft.com/office/spreadsheetml/2009/9/main" objectType="Drop" dropStyle="combo" dx="16" fmlaLink="$Q$32" fmlaRange="'Variable Mgmt'!$R$56:$R$60" noThreeD="1" sel="5" val="0"/>
</file>

<file path=xl/ctrlProps/ctrlProp9.xml><?xml version="1.0" encoding="utf-8"?>
<formControlPr xmlns="http://schemas.microsoft.com/office/spreadsheetml/2009/9/main" objectType="Drop" dropStyle="combo" dx="16" fmlaLink="$Q$36" fmlaRange="'Variable Mgmt'!$W$65:$W$68" noThreeD="1" sel="3" val="0"/>
</file>

<file path=xl/drawings/_rels/drawing1.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http://www.ti.com/widevin" TargetMode="External"/><Relationship Id="rId7" Type="http://schemas.openxmlformats.org/officeDocument/2006/relationships/hyperlink" Target="http://www.ti.com/automotive" TargetMode="External"/><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4.jpg"/><Relationship Id="rId5" Type="http://schemas.openxmlformats.org/officeDocument/2006/relationships/hyperlink" Target="http://www.ti.com/industrial" TargetMode="External"/><Relationship Id="rId4" Type="http://schemas.openxmlformats.org/officeDocument/2006/relationships/image" Target="../media/image3.jpg"/><Relationship Id="rId9" Type="http://schemas.openxmlformats.org/officeDocument/2006/relationships/image" Target="../media/image6.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chart" Target="../charts/chart19.xml"/><Relationship Id="rId1"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image" Target="../media/image19.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8.emf"/><Relationship Id="rId13" Type="http://schemas.openxmlformats.org/officeDocument/2006/relationships/image" Target="../media/image33.emf"/><Relationship Id="rId18" Type="http://schemas.openxmlformats.org/officeDocument/2006/relationships/image" Target="../media/image38.emf"/><Relationship Id="rId3" Type="http://schemas.openxmlformats.org/officeDocument/2006/relationships/image" Target="../media/image23.emf"/><Relationship Id="rId21" Type="http://schemas.openxmlformats.org/officeDocument/2006/relationships/image" Target="../media/image41.emf"/><Relationship Id="rId7" Type="http://schemas.openxmlformats.org/officeDocument/2006/relationships/image" Target="../media/image27.emf"/><Relationship Id="rId12" Type="http://schemas.openxmlformats.org/officeDocument/2006/relationships/image" Target="../media/image32.emf"/><Relationship Id="rId17" Type="http://schemas.openxmlformats.org/officeDocument/2006/relationships/image" Target="../media/image37.emf"/><Relationship Id="rId2" Type="http://schemas.openxmlformats.org/officeDocument/2006/relationships/image" Target="../media/image22.emf"/><Relationship Id="rId16" Type="http://schemas.openxmlformats.org/officeDocument/2006/relationships/image" Target="../media/image36.emf"/><Relationship Id="rId20" Type="http://schemas.openxmlformats.org/officeDocument/2006/relationships/image" Target="../media/image40.emf"/><Relationship Id="rId1" Type="http://schemas.openxmlformats.org/officeDocument/2006/relationships/image" Target="../media/image21.emf"/><Relationship Id="rId6" Type="http://schemas.openxmlformats.org/officeDocument/2006/relationships/image" Target="../media/image26.emf"/><Relationship Id="rId11" Type="http://schemas.openxmlformats.org/officeDocument/2006/relationships/image" Target="../media/image31.emf"/><Relationship Id="rId24" Type="http://schemas.openxmlformats.org/officeDocument/2006/relationships/image" Target="../media/image44.emf"/><Relationship Id="rId5" Type="http://schemas.openxmlformats.org/officeDocument/2006/relationships/image" Target="../media/image25.emf"/><Relationship Id="rId15" Type="http://schemas.openxmlformats.org/officeDocument/2006/relationships/image" Target="../media/image35.emf"/><Relationship Id="rId23" Type="http://schemas.openxmlformats.org/officeDocument/2006/relationships/image" Target="../media/image43.emf"/><Relationship Id="rId10" Type="http://schemas.openxmlformats.org/officeDocument/2006/relationships/image" Target="../media/image30.emf"/><Relationship Id="rId19" Type="http://schemas.openxmlformats.org/officeDocument/2006/relationships/image" Target="../media/image39.emf"/><Relationship Id="rId4" Type="http://schemas.openxmlformats.org/officeDocument/2006/relationships/image" Target="../media/image24.emf"/><Relationship Id="rId9" Type="http://schemas.openxmlformats.org/officeDocument/2006/relationships/image" Target="../media/image29.emf"/><Relationship Id="rId14" Type="http://schemas.openxmlformats.org/officeDocument/2006/relationships/image" Target="../media/image34.emf"/><Relationship Id="rId22" Type="http://schemas.openxmlformats.org/officeDocument/2006/relationships/image" Target="../media/image42.emf"/></Relationships>
</file>

<file path=xl/drawings/_rels/drawing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3.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image" Target="../media/image16.png"/><Relationship Id="rId1" Type="http://schemas.openxmlformats.org/officeDocument/2006/relationships/chart" Target="../charts/chart12.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209550</xdr:colOff>
          <xdr:row>24</xdr:row>
          <xdr:rowOff>243409</xdr:rowOff>
        </xdr:from>
        <xdr:to>
          <xdr:col>25</xdr:col>
          <xdr:colOff>1895036</xdr:colOff>
          <xdr:row>45</xdr:row>
          <xdr:rowOff>91228</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36469"/>
                </a:ext>
              </a:extLst>
            </xdr:cNvPicPr>
          </xdr:nvPicPr>
          <xdr:blipFill>
            <a:blip xmlns:r="http://schemas.openxmlformats.org/officeDocument/2006/relationships" r:embed="rId1"/>
            <a:srcRect/>
            <a:stretch>
              <a:fillRect/>
            </a:stretch>
          </xdr:blipFill>
          <xdr:spPr bwMode="auto">
            <a:xfrm>
              <a:off x="10701704" y="5408890"/>
              <a:ext cx="6675120" cy="4090107"/>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305021</xdr:colOff>
          <xdr:row>4</xdr:row>
          <xdr:rowOff>103292</xdr:rowOff>
        </xdr:from>
        <xdr:to>
          <xdr:col>25</xdr:col>
          <xdr:colOff>46264</xdr:colOff>
          <xdr:row>24</xdr:row>
          <xdr:rowOff>212257</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36470"/>
                </a:ext>
              </a:extLst>
            </xdr:cNvPicPr>
          </xdr:nvPicPr>
          <xdr:blipFill>
            <a:blip xmlns:r="http://schemas.openxmlformats.org/officeDocument/2006/relationships" r:embed="rId2"/>
            <a:srcRect/>
            <a:stretch>
              <a:fillRect/>
            </a:stretch>
          </xdr:blipFill>
          <xdr:spPr bwMode="auto">
            <a:xfrm>
              <a:off x="8239346" y="1246292"/>
              <a:ext cx="7313618" cy="4166615"/>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14</xdr:col>
      <xdr:colOff>381978</xdr:colOff>
      <xdr:row>11</xdr:row>
      <xdr:rowOff>72357</xdr:rowOff>
    </xdr:from>
    <xdr:to>
      <xdr:col>15</xdr:col>
      <xdr:colOff>99301</xdr:colOff>
      <xdr:row>12</xdr:row>
      <xdr:rowOff>95485</xdr:rowOff>
    </xdr:to>
    <xdr:sp macro="" textlink="">
      <xdr:nvSpPr>
        <xdr:cNvPr id="2292" name="Text Box 244">
          <a:extLst>
            <a:ext uri="{FF2B5EF4-FFF2-40B4-BE49-F238E27FC236}">
              <a16:creationId xmlns:a16="http://schemas.microsoft.com/office/drawing/2014/main" id="{00000000-0008-0000-0000-0000F4080000}"/>
            </a:ext>
          </a:extLst>
        </xdr:cNvPr>
        <xdr:cNvSpPr txBox="1">
          <a:spLocks noChangeArrowheads="1"/>
        </xdr:cNvSpPr>
      </xdr:nvSpPr>
      <xdr:spPr bwMode="auto">
        <a:xfrm>
          <a:off x="8925903" y="2644107"/>
          <a:ext cx="326923" cy="223153"/>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23</xdr:col>
      <xdr:colOff>132557</xdr:colOff>
      <xdr:row>9</xdr:row>
      <xdr:rowOff>152400</xdr:rowOff>
    </xdr:from>
    <xdr:to>
      <xdr:col>24</xdr:col>
      <xdr:colOff>16035</xdr:colOff>
      <xdr:row>10</xdr:row>
      <xdr:rowOff>152762</xdr:rowOff>
    </xdr:to>
    <xdr:sp macro="" textlink="'Variable Mgmt'!B213">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4420057" y="2324100"/>
          <a:ext cx="493078" cy="200387"/>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1100" b="0" i="0" u="none" strike="noStrike" baseline="0">
              <a:solidFill>
                <a:srgbClr val="000000"/>
              </a:solidFill>
              <a:latin typeface="Arial" pitchFamily="34" charset="0"/>
              <a:cs typeface="Arial" pitchFamily="34" charset="0"/>
            </a:rPr>
            <a:pPr algn="l" rtl="0">
              <a:defRPr sz="1000"/>
            </a:pPr>
            <a:t>88µF</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20</xdr:col>
      <xdr:colOff>471028</xdr:colOff>
      <xdr:row>11</xdr:row>
      <xdr:rowOff>166894</xdr:rowOff>
    </xdr:from>
    <xdr:to>
      <xdr:col>21</xdr:col>
      <xdr:colOff>310312</xdr:colOff>
      <xdr:row>13</xdr:row>
      <xdr:rowOff>15767</xdr:rowOff>
    </xdr:to>
    <xdr:sp macro="" textlink="'Variable Mgmt'!B199">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2929728" y="2738644"/>
          <a:ext cx="448884" cy="248923"/>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1050" b="0" i="0" u="none" strike="noStrike" baseline="0">
              <a:solidFill>
                <a:srgbClr val="000000"/>
              </a:solidFill>
              <a:latin typeface="Arial" pitchFamily="34" charset="0"/>
              <a:cs typeface="Arial" pitchFamily="34" charset="0"/>
            </a:rPr>
            <a:pPr algn="ctr" rtl="0">
              <a:defRPr sz="1000"/>
            </a:pPr>
            <a:t>55µH</a:t>
          </a:fld>
          <a:endParaRPr lang="en-US" sz="1050" b="0" i="0" u="none" strike="noStrike" baseline="0">
            <a:solidFill>
              <a:srgbClr val="000000"/>
            </a:solidFill>
            <a:latin typeface="Arial" pitchFamily="34" charset="0"/>
            <a:cs typeface="Arial" pitchFamily="34" charset="0"/>
          </a:endParaRPr>
        </a:p>
      </xdr:txBody>
    </xdr:sp>
    <xdr:clientData/>
  </xdr:twoCellAnchor>
  <xdr:twoCellAnchor>
    <xdr:from>
      <xdr:col>14</xdr:col>
      <xdr:colOff>291064</xdr:colOff>
      <xdr:row>12</xdr:row>
      <xdr:rowOff>96249</xdr:rowOff>
    </xdr:from>
    <xdr:to>
      <xdr:col>15</xdr:col>
      <xdr:colOff>155296</xdr:colOff>
      <xdr:row>13</xdr:row>
      <xdr:rowOff>88852</xdr:rowOff>
    </xdr:to>
    <xdr:sp macro="" textlink="'Variable Mgmt'!B218">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8834989" y="2868024"/>
          <a:ext cx="473832" cy="192628"/>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1100" b="0" i="0" u="none" strike="noStrike" baseline="0">
              <a:solidFill>
                <a:srgbClr val="000000"/>
              </a:solidFill>
              <a:latin typeface="Arial" pitchFamily="34" charset="0"/>
              <a:cs typeface="Arial" pitchFamily="34" charset="0"/>
            </a:rPr>
            <a:pPr algn="ctr" rtl="0">
              <a:defRPr sz="1000"/>
            </a:pPr>
            <a:t>2,2µF</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15</xdr:col>
      <xdr:colOff>240362</xdr:colOff>
      <xdr:row>21</xdr:row>
      <xdr:rowOff>19528</xdr:rowOff>
    </xdr:from>
    <xdr:to>
      <xdr:col>16</xdr:col>
      <xdr:colOff>8055</xdr:colOff>
      <xdr:row>22</xdr:row>
      <xdr:rowOff>97673</xdr:rowOff>
    </xdr:to>
    <xdr:sp macro="" textlink="'Variable Mgmt'!D245">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9393887" y="4639153"/>
          <a:ext cx="443968" cy="287695"/>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1100" b="0" i="0" u="none" strike="noStrike">
              <a:solidFill>
                <a:srgbClr val="000000"/>
              </a:solidFill>
              <a:latin typeface="Arial"/>
              <a:cs typeface="Arial"/>
            </a:rPr>
            <a:pPr algn="ctr" rtl="0">
              <a:defRPr sz="1000"/>
            </a:pPr>
            <a:t>22nF</a:t>
          </a:fld>
          <a:endParaRPr lang="en-US" sz="1100" b="0" i="0" strike="noStrike">
            <a:solidFill>
              <a:srgbClr val="000000"/>
            </a:solidFill>
            <a:latin typeface="Arial" pitchFamily="34" charset="0"/>
            <a:cs typeface="Arial" pitchFamily="34" charset="0"/>
          </a:endParaRPr>
        </a:p>
      </xdr:txBody>
    </xdr:sp>
    <xdr:clientData/>
  </xdr:twoCellAnchor>
  <xdr:twoCellAnchor>
    <xdr:from>
      <xdr:col>13</xdr:col>
      <xdr:colOff>383720</xdr:colOff>
      <xdr:row>6</xdr:row>
      <xdr:rowOff>10907</xdr:rowOff>
    </xdr:from>
    <xdr:to>
      <xdr:col>14</xdr:col>
      <xdr:colOff>285286</xdr:colOff>
      <xdr:row>8</xdr:row>
      <xdr:rowOff>95545</xdr:rowOff>
    </xdr:to>
    <xdr:sp macro="" textlink="'Variable Mgmt'!B205">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318045" y="1601582"/>
          <a:ext cx="511166" cy="465638"/>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24V</a:t>
          </a:fld>
          <a:endParaRPr lang="en-US" sz="1400" b="1" i="0" strike="noStrike">
            <a:solidFill>
              <a:srgbClr val="FF0000"/>
            </a:solidFill>
            <a:latin typeface="Arial" pitchFamily="34" charset="0"/>
            <a:cs typeface="Arial" pitchFamily="34" charset="0"/>
          </a:endParaRPr>
        </a:p>
      </xdr:txBody>
    </xdr:sp>
    <xdr:clientData/>
  </xdr:twoCellAnchor>
  <xdr:twoCellAnchor>
    <xdr:from>
      <xdr:col>24</xdr:col>
      <xdr:colOff>19339</xdr:colOff>
      <xdr:row>6</xdr:row>
      <xdr:rowOff>57503</xdr:rowOff>
    </xdr:from>
    <xdr:to>
      <xdr:col>25</xdr:col>
      <xdr:colOff>74772</xdr:colOff>
      <xdr:row>8</xdr:row>
      <xdr:rowOff>34017</xdr:rowOff>
    </xdr:to>
    <xdr:sp macro="" textlink="'Variable Mgmt'!B208">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4916439" y="1648178"/>
          <a:ext cx="665033" cy="35751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6,3V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23</xdr:col>
      <xdr:colOff>514350</xdr:colOff>
      <xdr:row>7</xdr:row>
      <xdr:rowOff>153310</xdr:rowOff>
    </xdr:from>
    <xdr:to>
      <xdr:col>24</xdr:col>
      <xdr:colOff>455838</xdr:colOff>
      <xdr:row>9</xdr:row>
      <xdr:rowOff>64353</xdr:rowOff>
    </xdr:to>
    <xdr:sp macro="" textlink="'Variable Mgmt'!B263">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4801850" y="1924960"/>
          <a:ext cx="551088" cy="311093"/>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0,1A</a:t>
          </a:fld>
          <a:endParaRPr lang="en-US" sz="135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121920</xdr:colOff>
          <xdr:row>6</xdr:row>
          <xdr:rowOff>7620</xdr:rowOff>
        </xdr:from>
        <xdr:to>
          <xdr:col>5</xdr:col>
          <xdr:colOff>304800</xdr:colOff>
          <xdr:row>7</xdr:row>
          <xdr:rowOff>30480</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15</xdr:col>
      <xdr:colOff>335079</xdr:colOff>
      <xdr:row>10</xdr:row>
      <xdr:rowOff>32564</xdr:rowOff>
    </xdr:from>
    <xdr:to>
      <xdr:col>16</xdr:col>
      <xdr:colOff>183502</xdr:colOff>
      <xdr:row>11</xdr:row>
      <xdr:rowOff>77904</xdr:rowOff>
    </xdr:to>
    <xdr:sp macro="" textlink="'Variable Mgmt'!C237">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9488604" y="2404289"/>
          <a:ext cx="524698" cy="245365"/>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536kΩ</a:t>
          </a:fld>
          <a:endParaRPr lang="el-GR" sz="1000" b="0" i="0" strike="noStrike">
            <a:solidFill>
              <a:srgbClr val="000000"/>
            </a:solidFill>
            <a:latin typeface="Arial" pitchFamily="34" charset="0"/>
            <a:cs typeface="Arial" pitchFamily="34" charset="0"/>
          </a:endParaRPr>
        </a:p>
      </xdr:txBody>
    </xdr:sp>
    <xdr:clientData/>
  </xdr:twoCellAnchor>
  <xdr:twoCellAnchor>
    <xdr:from>
      <xdr:col>15</xdr:col>
      <xdr:colOff>316029</xdr:colOff>
      <xdr:row>14</xdr:row>
      <xdr:rowOff>215084</xdr:rowOff>
    </xdr:from>
    <xdr:to>
      <xdr:col>16</xdr:col>
      <xdr:colOff>164452</xdr:colOff>
      <xdr:row>15</xdr:row>
      <xdr:rowOff>176021</xdr:rowOff>
    </xdr:to>
    <xdr:sp macro="" textlink="'Variable Mgmt'!C238">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469554" y="3386909"/>
          <a:ext cx="524698" cy="208587"/>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100kΩ</a:t>
          </a:fld>
          <a:endParaRPr lang="el-GR" sz="1000" b="0" i="0" strike="noStrike">
            <a:solidFill>
              <a:srgbClr val="000000"/>
            </a:solidFill>
            <a:latin typeface="Arial" pitchFamily="34" charset="0"/>
            <a:cs typeface="Arial" pitchFamily="34" charset="0"/>
          </a:endParaRPr>
        </a:p>
      </xdr:txBody>
    </xdr:sp>
    <xdr:clientData/>
  </xdr:twoCellAnchor>
  <xdr:twoCellAnchor>
    <xdr:from>
      <xdr:col>19</xdr:col>
      <xdr:colOff>325713</xdr:colOff>
      <xdr:row>15</xdr:row>
      <xdr:rowOff>30701</xdr:rowOff>
    </xdr:from>
    <xdr:to>
      <xdr:col>20</xdr:col>
      <xdr:colOff>235357</xdr:colOff>
      <xdr:row>16</xdr:row>
      <xdr:rowOff>65648</xdr:rowOff>
    </xdr:to>
    <xdr:sp macro="" textlink="'Variable Mgmt'!C227">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2174813" y="3450176"/>
          <a:ext cx="519244" cy="234972"/>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1100" b="0" i="0" u="none" strike="noStrike">
              <a:solidFill>
                <a:srgbClr val="000000"/>
              </a:solidFill>
              <a:latin typeface="Arial"/>
              <a:cs typeface="Arial"/>
            </a:rPr>
            <a:pPr algn="l" rtl="0">
              <a:defRPr sz="1000"/>
            </a:pPr>
            <a:t>150kΩ</a:t>
          </a:fld>
          <a:endParaRPr lang="el-GR" sz="1800" b="0" i="0" strike="noStrike">
            <a:solidFill>
              <a:srgbClr val="000000"/>
            </a:solidFill>
            <a:latin typeface="Arial" pitchFamily="34" charset="0"/>
            <a:cs typeface="Arial" pitchFamily="34" charset="0"/>
          </a:endParaRPr>
        </a:p>
      </xdr:txBody>
    </xdr:sp>
    <xdr:clientData/>
  </xdr:twoCellAnchor>
  <xdr:twoCellAnchor>
    <xdr:from>
      <xdr:col>20</xdr:col>
      <xdr:colOff>366817</xdr:colOff>
      <xdr:row>20</xdr:row>
      <xdr:rowOff>42569</xdr:rowOff>
    </xdr:from>
    <xdr:to>
      <xdr:col>21</xdr:col>
      <xdr:colOff>268980</xdr:colOff>
      <xdr:row>21</xdr:row>
      <xdr:rowOff>43965</xdr:rowOff>
    </xdr:to>
    <xdr:sp macro="" textlink="'Variable Mgmt'!C241">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2825517" y="4462169"/>
          <a:ext cx="511763" cy="20142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1100" b="0" i="0" u="none" strike="noStrike" baseline="0">
              <a:solidFill>
                <a:srgbClr val="000000"/>
              </a:solidFill>
              <a:latin typeface="Arial"/>
              <a:cs typeface="Arial"/>
            </a:rPr>
            <a:pPr algn="l" rtl="0">
              <a:defRPr sz="1000"/>
            </a:pPr>
            <a:t>12.1kΩ</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13</xdr:col>
      <xdr:colOff>390526</xdr:colOff>
      <xdr:row>8</xdr:row>
      <xdr:rowOff>14707</xdr:rowOff>
    </xdr:from>
    <xdr:to>
      <xdr:col>15</xdr:col>
      <xdr:colOff>200026</xdr:colOff>
      <xdr:row>9</xdr:row>
      <xdr:rowOff>100569</xdr:rowOff>
    </xdr:to>
    <xdr:sp macro="" textlink="'Variable Mgmt'!B206">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324851" y="1986382"/>
          <a:ext cx="1028700" cy="285887"/>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200" b="1" i="0" u="none" strike="noStrike">
              <a:solidFill>
                <a:srgbClr val="000000"/>
              </a:solidFill>
              <a:latin typeface="Arial"/>
              <a:cs typeface="Arial"/>
            </a:rPr>
            <a:pPr algn="l" rtl="0">
              <a:defRPr sz="1000"/>
            </a:pPr>
            <a:t>10V...50V</a:t>
          </a:fld>
          <a:endParaRPr lang="en-US" sz="120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7620</xdr:colOff>
          <xdr:row>27</xdr:row>
          <xdr:rowOff>0</xdr:rowOff>
        </xdr:from>
        <xdr:to>
          <xdr:col>5</xdr:col>
          <xdr:colOff>274320</xdr:colOff>
          <xdr:row>28</xdr:row>
          <xdr:rowOff>30480</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19</xdr:col>
      <xdr:colOff>345191</xdr:colOff>
      <xdr:row>18</xdr:row>
      <xdr:rowOff>179673</xdr:rowOff>
    </xdr:from>
    <xdr:to>
      <xdr:col>20</xdr:col>
      <xdr:colOff>66463</xdr:colOff>
      <xdr:row>20</xdr:row>
      <xdr:rowOff>31513</xdr:rowOff>
    </xdr:to>
    <xdr:sp macro="" textlink="'Variable Mgmt'!C233">
      <xdr:nvSpPr>
        <xdr:cNvPr id="43" name="Text Box 225">
          <a:extLst>
            <a:ext uri="{FF2B5EF4-FFF2-40B4-BE49-F238E27FC236}">
              <a16:creationId xmlns:a16="http://schemas.microsoft.com/office/drawing/2014/main" id="{00000000-0008-0000-0000-00002B000000}"/>
            </a:ext>
          </a:extLst>
        </xdr:cNvPr>
        <xdr:cNvSpPr txBox="1">
          <a:spLocks noChangeArrowheads="1"/>
        </xdr:cNvSpPr>
      </xdr:nvSpPr>
      <xdr:spPr bwMode="auto">
        <a:xfrm>
          <a:off x="12194291" y="4199223"/>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 </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19</xdr:col>
      <xdr:colOff>294863</xdr:colOff>
      <xdr:row>20</xdr:row>
      <xdr:rowOff>24818</xdr:rowOff>
    </xdr:from>
    <xdr:to>
      <xdr:col>20</xdr:col>
      <xdr:colOff>200643</xdr:colOff>
      <xdr:row>21</xdr:row>
      <xdr:rowOff>57525</xdr:rowOff>
    </xdr:to>
    <xdr:sp macro="" textlink="'Variable Mgmt'!B233">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2143963" y="4444418"/>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 </a:t>
          </a:fld>
          <a:endParaRPr lang="el-GR" sz="11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7620</xdr:colOff>
          <xdr:row>33</xdr:row>
          <xdr:rowOff>0</xdr:rowOff>
        </xdr:from>
        <xdr:to>
          <xdr:col>5</xdr:col>
          <xdr:colOff>259080</xdr:colOff>
          <xdr:row>33</xdr:row>
          <xdr:rowOff>198120</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15</xdr:col>
      <xdr:colOff>355276</xdr:colOff>
      <xdr:row>9</xdr:row>
      <xdr:rowOff>29108</xdr:rowOff>
    </xdr:from>
    <xdr:to>
      <xdr:col>16</xdr:col>
      <xdr:colOff>81051</xdr:colOff>
      <xdr:row>10</xdr:row>
      <xdr:rowOff>59124</xdr:rowOff>
    </xdr:to>
    <xdr:sp macro="" textlink="'Variable Mgmt'!C236">
      <xdr:nvSpPr>
        <xdr:cNvPr id="48" name="Text Box 264">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9508801" y="2200808"/>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15</xdr:col>
      <xdr:colOff>355276</xdr:colOff>
      <xdr:row>14</xdr:row>
      <xdr:rowOff>23943</xdr:rowOff>
    </xdr:from>
    <xdr:to>
      <xdr:col>16</xdr:col>
      <xdr:colOff>103031</xdr:colOff>
      <xdr:row>14</xdr:row>
      <xdr:rowOff>213188</xdr:rowOff>
    </xdr:to>
    <xdr:sp macro="" textlink="'Variable Mgmt'!D236">
      <xdr:nvSpPr>
        <xdr:cNvPr id="50" name="Text Box 264">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9508801" y="3195768"/>
          <a:ext cx="424030" cy="189245"/>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15</xdr:col>
      <xdr:colOff>305571</xdr:colOff>
      <xdr:row>19</xdr:row>
      <xdr:rowOff>153969</xdr:rowOff>
    </xdr:from>
    <xdr:to>
      <xdr:col>16</xdr:col>
      <xdr:colOff>73264</xdr:colOff>
      <xdr:row>21</xdr:row>
      <xdr:rowOff>95474</xdr:rowOff>
    </xdr:to>
    <xdr:sp macro="" textlink="'Variable Mgmt'!C246">
      <xdr:nvSpPr>
        <xdr:cNvPr id="49" name="Text Box 281">
          <a:extLst>
            <a:ext uri="{FF2B5EF4-FFF2-40B4-BE49-F238E27FC236}">
              <a16:creationId xmlns:a16="http://schemas.microsoft.com/office/drawing/2014/main" id="{00000000-0008-0000-0000-000031000000}"/>
            </a:ext>
          </a:extLst>
        </xdr:cNvPr>
        <xdr:cNvSpPr txBox="1">
          <a:spLocks noChangeArrowheads="1" noTextEdit="1"/>
        </xdr:cNvSpPr>
      </xdr:nvSpPr>
      <xdr:spPr bwMode="auto">
        <a:xfrm>
          <a:off x="9459096" y="4373544"/>
          <a:ext cx="443968" cy="341555"/>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editAs="oneCell">
    <xdr:from>
      <xdr:col>0</xdr:col>
      <xdr:colOff>78143</xdr:colOff>
      <xdr:row>0</xdr:row>
      <xdr:rowOff>32845</xdr:rowOff>
    </xdr:from>
    <xdr:to>
      <xdr:col>3</xdr:col>
      <xdr:colOff>351439</xdr:colOff>
      <xdr:row>0</xdr:row>
      <xdr:rowOff>571501</xdr:rowOff>
    </xdr:to>
    <xdr:pic macro="[0]!OpenLM27403ProductFolder">
      <xdr:nvPicPr>
        <xdr:cNvPr id="4" name="Picture 3">
          <a:hlinkClick xmlns:r="http://schemas.openxmlformats.org/officeDocument/2006/relationships" r:id="rId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432054</xdr:colOff>
      <xdr:row>3</xdr:row>
      <xdr:rowOff>123825</xdr:rowOff>
    </xdr:to>
    <xdr:pic macro="[0]!OpenLM27403ProductFolder">
      <xdr:nvPicPr>
        <xdr:cNvPr id="53" name="Picture 52">
          <a:hlinkClick xmlns:r="http://schemas.openxmlformats.org/officeDocument/2006/relationships" r:id="rId5"/>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542193</xdr:colOff>
      <xdr:row>3</xdr:row>
      <xdr:rowOff>120958</xdr:rowOff>
    </xdr:to>
    <xdr:pic macro="[0]!OpenLM27403ProductFolder">
      <xdr:nvPicPr>
        <xdr:cNvPr id="54" name="Picture 53">
          <a:hlinkClick xmlns:r="http://schemas.openxmlformats.org/officeDocument/2006/relationships" r:id="rId7"/>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7620</xdr:colOff>
          <xdr:row>11</xdr:row>
          <xdr:rowOff>0</xdr:rowOff>
        </xdr:from>
        <xdr:to>
          <xdr:col>12</xdr:col>
          <xdr:colOff>68580</xdr:colOff>
          <xdr:row>12</xdr:row>
          <xdr:rowOff>7620</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19</xdr:col>
      <xdr:colOff>348376</xdr:colOff>
      <xdr:row>14</xdr:row>
      <xdr:rowOff>69974</xdr:rowOff>
    </xdr:from>
    <xdr:to>
      <xdr:col>20</xdr:col>
      <xdr:colOff>61616</xdr:colOff>
      <xdr:row>15</xdr:row>
      <xdr:rowOff>61702</xdr:rowOff>
    </xdr:to>
    <xdr:sp macro="" textlink="">
      <xdr:nvSpPr>
        <xdr:cNvPr id="57" name="Text Box 244">
          <a:extLst>
            <a:ext uri="{FF2B5EF4-FFF2-40B4-BE49-F238E27FC236}">
              <a16:creationId xmlns:a16="http://schemas.microsoft.com/office/drawing/2014/main" id="{00000000-0008-0000-0000-000039000000}"/>
            </a:ext>
          </a:extLst>
        </xdr:cNvPr>
        <xdr:cNvSpPr txBox="1">
          <a:spLocks noChangeArrowheads="1"/>
        </xdr:cNvSpPr>
      </xdr:nvSpPr>
      <xdr:spPr bwMode="auto">
        <a:xfrm>
          <a:off x="12197476" y="3241799"/>
          <a:ext cx="322840" cy="23937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20</xdr:col>
      <xdr:colOff>374043</xdr:colOff>
      <xdr:row>19</xdr:row>
      <xdr:rowOff>1514</xdr:rowOff>
    </xdr:from>
    <xdr:to>
      <xdr:col>21</xdr:col>
      <xdr:colOff>148739</xdr:colOff>
      <xdr:row>20</xdr:row>
      <xdr:rowOff>34871</xdr:rowOff>
    </xdr:to>
    <xdr:sp macro="" textlink="">
      <xdr:nvSpPr>
        <xdr:cNvPr id="58" name="Text Box 244">
          <a:extLst>
            <a:ext uri="{FF2B5EF4-FFF2-40B4-BE49-F238E27FC236}">
              <a16:creationId xmlns:a16="http://schemas.microsoft.com/office/drawing/2014/main" id="{00000000-0008-0000-0000-00003A000000}"/>
            </a:ext>
          </a:extLst>
        </xdr:cNvPr>
        <xdr:cNvSpPr txBox="1">
          <a:spLocks noChangeArrowheads="1"/>
        </xdr:cNvSpPr>
      </xdr:nvSpPr>
      <xdr:spPr bwMode="auto">
        <a:xfrm>
          <a:off x="12832743" y="4221089"/>
          <a:ext cx="384296" cy="233382"/>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18</xdr:col>
      <xdr:colOff>548052</xdr:colOff>
      <xdr:row>8</xdr:row>
      <xdr:rowOff>15972</xdr:rowOff>
    </xdr:from>
    <xdr:to>
      <xdr:col>19</xdr:col>
      <xdr:colOff>346548</xdr:colOff>
      <xdr:row>9</xdr:row>
      <xdr:rowOff>76319</xdr:rowOff>
    </xdr:to>
    <xdr:sp macro="" textlink="">
      <xdr:nvSpPr>
        <xdr:cNvPr id="60" name="Text Box 235">
          <a:extLst>
            <a:ext uri="{FF2B5EF4-FFF2-40B4-BE49-F238E27FC236}">
              <a16:creationId xmlns:a16="http://schemas.microsoft.com/office/drawing/2014/main" id="{00000000-0008-0000-0000-00003C000000}"/>
            </a:ext>
          </a:extLst>
        </xdr:cNvPr>
        <xdr:cNvSpPr txBox="1">
          <a:spLocks noChangeArrowheads="1"/>
        </xdr:cNvSpPr>
      </xdr:nvSpPr>
      <xdr:spPr bwMode="auto">
        <a:xfrm>
          <a:off x="11730402" y="1987647"/>
          <a:ext cx="465246" cy="260372"/>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19</xdr:col>
      <xdr:colOff>164558</xdr:colOff>
      <xdr:row>11</xdr:row>
      <xdr:rowOff>69250</xdr:rowOff>
    </xdr:from>
    <xdr:to>
      <xdr:col>19</xdr:col>
      <xdr:colOff>436580</xdr:colOff>
      <xdr:row>12</xdr:row>
      <xdr:rowOff>119548</xdr:rowOff>
    </xdr:to>
    <xdr:sp macro="" textlink="">
      <xdr:nvSpPr>
        <xdr:cNvPr id="61" name="Text Box 235">
          <a:extLst>
            <a:ext uri="{FF2B5EF4-FFF2-40B4-BE49-F238E27FC236}">
              <a16:creationId xmlns:a16="http://schemas.microsoft.com/office/drawing/2014/main" id="{00000000-0008-0000-0000-00003D000000}"/>
            </a:ext>
          </a:extLst>
        </xdr:cNvPr>
        <xdr:cNvSpPr txBox="1">
          <a:spLocks noChangeArrowheads="1"/>
        </xdr:cNvSpPr>
      </xdr:nvSpPr>
      <xdr:spPr bwMode="auto">
        <a:xfrm>
          <a:off x="12013658" y="2641000"/>
          <a:ext cx="272022" cy="250323"/>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30</xdr:row>
          <xdr:rowOff>7620</xdr:rowOff>
        </xdr:from>
        <xdr:to>
          <xdr:col>5</xdr:col>
          <xdr:colOff>266700</xdr:colOff>
          <xdr:row>31</xdr:row>
          <xdr:rowOff>7620</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20</xdr:col>
      <xdr:colOff>304800</xdr:colOff>
      <xdr:row>10</xdr:row>
      <xdr:rowOff>191738</xdr:rowOff>
    </xdr:from>
    <xdr:to>
      <xdr:col>21</xdr:col>
      <xdr:colOff>447675</xdr:colOff>
      <xdr:row>12</xdr:row>
      <xdr:rowOff>38100</xdr:rowOff>
    </xdr:to>
    <xdr:sp macro="" textlink="'Variable Mgmt'!B201">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2763500" y="2563463"/>
          <a:ext cx="752475" cy="246412"/>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2 : 1 : 2,33</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25</xdr:col>
      <xdr:colOff>571500</xdr:colOff>
      <xdr:row>27</xdr:row>
      <xdr:rowOff>113959</xdr:rowOff>
    </xdr:from>
    <xdr:to>
      <xdr:col>25</xdr:col>
      <xdr:colOff>1049263</xdr:colOff>
      <xdr:row>29</xdr:row>
      <xdr:rowOff>12359</xdr:rowOff>
    </xdr:to>
    <xdr:sp macro="" textlink="'Variable Mgmt'!$B$254">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078200" y="5962309"/>
          <a:ext cx="477763" cy="279400"/>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88,4%</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24</xdr:col>
      <xdr:colOff>38389</xdr:colOff>
      <xdr:row>13</xdr:row>
      <xdr:rowOff>88799</xdr:rowOff>
    </xdr:from>
    <xdr:to>
      <xdr:col>25</xdr:col>
      <xdr:colOff>93822</xdr:colOff>
      <xdr:row>14</xdr:row>
      <xdr:rowOff>236764</xdr:rowOff>
    </xdr:to>
    <xdr:sp macro="" textlink="'Variable Mgmt'!B209">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4935489" y="3060599"/>
          <a:ext cx="665033" cy="347990"/>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23</xdr:col>
      <xdr:colOff>418167</xdr:colOff>
      <xdr:row>14</xdr:row>
      <xdr:rowOff>147867</xdr:rowOff>
    </xdr:from>
    <xdr:to>
      <xdr:col>24</xdr:col>
      <xdr:colOff>561280</xdr:colOff>
      <xdr:row>15</xdr:row>
      <xdr:rowOff>199064</xdr:rowOff>
    </xdr:to>
    <xdr:sp macro="" textlink="'Variable Mgmt'!B264">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4705667" y="3319692"/>
          <a:ext cx="752713" cy="298847"/>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24</xdr:col>
      <xdr:colOff>289</xdr:colOff>
      <xdr:row>15</xdr:row>
      <xdr:rowOff>128260</xdr:rowOff>
    </xdr:from>
    <xdr:to>
      <xdr:col>25</xdr:col>
      <xdr:colOff>55722</xdr:colOff>
      <xdr:row>17</xdr:row>
      <xdr:rowOff>74839</xdr:rowOff>
    </xdr:to>
    <xdr:sp macro="" textlink="'Variable Mgmt'!B210">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4897389" y="3547735"/>
          <a:ext cx="665033" cy="346629"/>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-15V</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23</xdr:col>
      <xdr:colOff>437217</xdr:colOff>
      <xdr:row>16</xdr:row>
      <xdr:rowOff>190049</xdr:rowOff>
    </xdr:from>
    <xdr:to>
      <xdr:col>24</xdr:col>
      <xdr:colOff>580330</xdr:colOff>
      <xdr:row>18</xdr:row>
      <xdr:rowOff>90207</xdr:rowOff>
    </xdr:to>
    <xdr:sp macro="" textlink="'Variable Mgmt'!B265">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4724717" y="3809549"/>
          <a:ext cx="752713" cy="300208"/>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-0,1A</a:t>
          </a:fld>
          <a:endParaRPr lang="en-US" sz="1350" b="1" i="0" strike="noStrike">
            <a:solidFill>
              <a:srgbClr val="FF0000"/>
            </a:solidFill>
            <a:latin typeface="Arial" pitchFamily="34" charset="0"/>
            <a:cs typeface="Arial" pitchFamily="34" charset="0"/>
          </a:endParaRPr>
        </a:p>
      </xdr:txBody>
    </xdr:sp>
    <xdr:clientData/>
  </xdr:twoCellAnchor>
  <xdr:twoCellAnchor>
    <xdr:from>
      <xdr:col>23</xdr:col>
      <xdr:colOff>132557</xdr:colOff>
      <xdr:row>14</xdr:row>
      <xdr:rowOff>179147</xdr:rowOff>
    </xdr:from>
    <xdr:to>
      <xdr:col>24</xdr:col>
      <xdr:colOff>16035</xdr:colOff>
      <xdr:row>15</xdr:row>
      <xdr:rowOff>105137</xdr:rowOff>
    </xdr:to>
    <xdr:sp macro="" textlink="'Variable Mgmt'!D213">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4420057" y="3350972"/>
          <a:ext cx="493078" cy="173640"/>
        </a:xfrm>
        <a:prstGeom prst="rect">
          <a:avLst/>
        </a:prstGeom>
        <a:noFill/>
        <a:ln w="9525">
          <a:noFill/>
          <a:miter lim="800000"/>
          <a:headEnd/>
          <a:tailEnd/>
        </a:ln>
      </xdr:spPr>
      <xdr:txBody>
        <a:bodyPr vertOverflow="clip" wrap="square" lIns="27432" tIns="22860" rIns="0" bIns="0" anchor="ctr" upright="1"/>
        <a:lstStyle/>
        <a:p>
          <a:pPr algn="l" rtl="0">
            <a:defRPr sz="1000"/>
          </a:pPr>
          <a:fld id="{2B13305E-FBF9-43A5-B29E-67B7B248F534}" type="TxLink">
            <a:rPr lang="en-US" sz="1000" b="0" i="0" u="none" strike="noStrike" baseline="0">
              <a:solidFill>
                <a:srgbClr val="000000"/>
              </a:solidFill>
              <a:latin typeface="Arial"/>
              <a:cs typeface="Arial"/>
            </a:rPr>
            <a:pPr algn="l" rtl="0">
              <a:defRPr sz="1000"/>
            </a:pPr>
            <a:t>44µF</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23</xdr:col>
      <xdr:colOff>132557</xdr:colOff>
      <xdr:row>16</xdr:row>
      <xdr:rowOff>141047</xdr:rowOff>
    </xdr:from>
    <xdr:to>
      <xdr:col>24</xdr:col>
      <xdr:colOff>16035</xdr:colOff>
      <xdr:row>17</xdr:row>
      <xdr:rowOff>124187</xdr:rowOff>
    </xdr:to>
    <xdr:sp macro="" textlink="'Variable Mgmt'!C213">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4420057" y="3760547"/>
          <a:ext cx="493078" cy="183165"/>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1100" b="0" i="0" u="none" strike="noStrike" baseline="0">
              <a:solidFill>
                <a:srgbClr val="000000"/>
              </a:solidFill>
              <a:latin typeface="Arial"/>
              <a:cs typeface="Arial"/>
            </a:rPr>
            <a:pPr algn="l" rtl="0">
              <a:defRPr sz="1000"/>
            </a:pPr>
            <a:t> </a:t>
          </a:fld>
          <a:endParaRPr lang="en-US" sz="1400" b="0" i="0" u="none" strike="noStrike" baseline="0">
            <a:solidFill>
              <a:srgbClr val="000000"/>
            </a:solidFill>
            <a:latin typeface="Arial" pitchFamily="34" charset="0"/>
            <a:cs typeface="Arial" pitchFamily="34" charset="0"/>
          </a:endParaRPr>
        </a:p>
      </xdr:txBody>
    </xdr:sp>
    <xdr:clientData/>
  </xdr:twoCellAnchor>
  <xdr:twoCellAnchor>
    <xdr:from>
      <xdr:col>20</xdr:col>
      <xdr:colOff>461791</xdr:colOff>
      <xdr:row>5</xdr:row>
      <xdr:rowOff>140393</xdr:rowOff>
    </xdr:from>
    <xdr:to>
      <xdr:col>21</xdr:col>
      <xdr:colOff>172310</xdr:colOff>
      <xdr:row>7</xdr:row>
      <xdr:rowOff>7039</xdr:rowOff>
    </xdr:to>
    <xdr:sp macro="" textlink="">
      <xdr:nvSpPr>
        <xdr:cNvPr id="52" name="Text Box 244">
          <a:extLst>
            <a:ext uri="{FF2B5EF4-FFF2-40B4-BE49-F238E27FC236}">
              <a16:creationId xmlns:a16="http://schemas.microsoft.com/office/drawing/2014/main" id="{00000000-0008-0000-0000-000034000000}"/>
            </a:ext>
          </a:extLst>
        </xdr:cNvPr>
        <xdr:cNvSpPr txBox="1">
          <a:spLocks noChangeArrowheads="1"/>
        </xdr:cNvSpPr>
      </xdr:nvSpPr>
      <xdr:spPr bwMode="auto">
        <a:xfrm>
          <a:off x="12920491" y="1531043"/>
          <a:ext cx="320119" cy="247646"/>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24</xdr:row>
          <xdr:rowOff>247649</xdr:rowOff>
        </xdr:from>
        <xdr:to>
          <xdr:col>17</xdr:col>
          <xdr:colOff>141358</xdr:colOff>
          <xdr:row>45</xdr:row>
          <xdr:rowOff>104774</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36471"/>
                </a:ext>
              </a:extLst>
            </xdr:cNvPicPr>
          </xdr:nvPicPr>
          <xdr:blipFill>
            <a:blip xmlns:r="http://schemas.openxmlformats.org/officeDocument/2006/relationships" r:embed="rId9"/>
            <a:srcRect/>
            <a:stretch>
              <a:fillRect/>
            </a:stretch>
          </xdr:blipFill>
          <xdr:spPr bwMode="auto">
            <a:xfrm>
              <a:off x="3962400" y="5448299"/>
              <a:ext cx="6685033" cy="4124325"/>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56">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73,6%</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54">
      <xdr:nvSpPr>
        <xdr:cNvPr id="5" name="Text Box 24">
          <a:extLst>
            <a:ext uri="{FF2B5EF4-FFF2-40B4-BE49-F238E27FC236}">
              <a16:creationId xmlns:a16="http://schemas.microsoft.com/office/drawing/2014/main" id="{00000000-0008-0000-08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88,4%</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54">
      <xdr:nvSpPr>
        <xdr:cNvPr id="6" name="Text Box 24">
          <a:extLst>
            <a:ext uri="{FF2B5EF4-FFF2-40B4-BE49-F238E27FC236}">
              <a16:creationId xmlns:a16="http://schemas.microsoft.com/office/drawing/2014/main" id="{00000000-0008-0000-08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88,4%</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800-000009000000}"/>
                </a:ext>
              </a:extLst>
            </xdr:cNvPr>
            <xdr:cNvPicPr>
              <a:picLocks noChangeAspect="1" noChangeArrowheads="1"/>
              <a:extLst>
                <a:ext uri="{84589F7E-364E-4C9E-8A38-B11213B215E9}">
                  <a14:cameraTool cellRange="PICTURE3" spid="_x0000_s729357"/>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900-000006000000}"/>
                </a:ext>
              </a:extLst>
            </xdr:cNvPr>
            <xdr:cNvPicPr>
              <a:picLocks noChangeAspect="1" noChangeArrowheads="1"/>
              <a:extLst>
                <a:ext uri="{84589F7E-364E-4C9E-8A38-B11213B215E9}">
                  <a14:cameraTool cellRange="PICTURE2" spid="_x0000_s733452"/>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A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A00-000005000000}"/>
            </a:ext>
          </a:extLst>
        </xdr:cNvPr>
        <xdr:cNvGrpSpPr>
          <a:grpSpLocks/>
        </xdr:cNvGrpSpPr>
      </xdr:nvGrpSpPr>
      <xdr:grpSpPr bwMode="auto">
        <a:xfrm>
          <a:off x="33863280" y="65171955"/>
          <a:ext cx="0" cy="4337685"/>
          <a:chOff x="953" y="747"/>
          <a:chExt cx="76" cy="41"/>
        </a:xfrm>
      </xdr:grpSpPr>
      <xdr:sp macro="" textlink="">
        <xdr:nvSpPr>
          <xdr:cNvPr id="6" name="Text Box 26">
            <a:extLst>
              <a:ext uri="{FF2B5EF4-FFF2-40B4-BE49-F238E27FC236}">
                <a16:creationId xmlns:a16="http://schemas.microsoft.com/office/drawing/2014/main" id="{00000000-0008-0000-0A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A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3</xdr:col>
      <xdr:colOff>609599</xdr:colOff>
      <xdr:row>6</xdr:row>
      <xdr:rowOff>0</xdr:rowOff>
    </xdr:from>
    <xdr:to>
      <xdr:col>4</xdr:col>
      <xdr:colOff>8229599</xdr:colOff>
      <xdr:row>6</xdr:row>
      <xdr:rowOff>4480726</xdr:rowOff>
    </xdr:to>
    <xdr:pic>
      <xdr:nvPicPr>
        <xdr:cNvPr id="82" name="Picture 81">
          <a:extLst>
            <a:ext uri="{FF2B5EF4-FFF2-40B4-BE49-F238E27FC236}">
              <a16:creationId xmlns:a16="http://schemas.microsoft.com/office/drawing/2014/main" id="{00000000-0008-0000-0A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49" y="102870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609599</xdr:colOff>
      <xdr:row>6</xdr:row>
      <xdr:rowOff>0</xdr:rowOff>
    </xdr:from>
    <xdr:to>
      <xdr:col>7</xdr:col>
      <xdr:colOff>8229599</xdr:colOff>
      <xdr:row>6</xdr:row>
      <xdr:rowOff>4480726</xdr:rowOff>
    </xdr:to>
    <xdr:pic>
      <xdr:nvPicPr>
        <xdr:cNvPr id="84" name="Picture 83">
          <a:extLst>
            <a:ext uri="{FF2B5EF4-FFF2-40B4-BE49-F238E27FC236}">
              <a16:creationId xmlns:a16="http://schemas.microsoft.com/office/drawing/2014/main" id="{00000000-0008-0000-0A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916774" y="102870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847724</xdr:colOff>
      <xdr:row>8</xdr:row>
      <xdr:rowOff>0</xdr:rowOff>
    </xdr:from>
    <xdr:to>
      <xdr:col>1</xdr:col>
      <xdr:colOff>8229599</xdr:colOff>
      <xdr:row>8</xdr:row>
      <xdr:rowOff>4480726</xdr:rowOff>
    </xdr:to>
    <xdr:pic>
      <xdr:nvPicPr>
        <xdr:cNvPr id="51" name="Picture 50">
          <a:extLst>
            <a:ext uri="{FF2B5EF4-FFF2-40B4-BE49-F238E27FC236}">
              <a16:creationId xmlns:a16="http://schemas.microsoft.com/office/drawing/2014/main" id="{00000000-0008-0000-0A00-00003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7724" y="5781675"/>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847724</xdr:colOff>
      <xdr:row>10</xdr:row>
      <xdr:rowOff>0</xdr:rowOff>
    </xdr:from>
    <xdr:to>
      <xdr:col>1</xdr:col>
      <xdr:colOff>8229599</xdr:colOff>
      <xdr:row>10</xdr:row>
      <xdr:rowOff>4480726</xdr:rowOff>
    </xdr:to>
    <xdr:pic>
      <xdr:nvPicPr>
        <xdr:cNvPr id="52" name="Picture 51">
          <a:extLst>
            <a:ext uri="{FF2B5EF4-FFF2-40B4-BE49-F238E27FC236}">
              <a16:creationId xmlns:a16="http://schemas.microsoft.com/office/drawing/2014/main" id="{00000000-0008-0000-0A00-00003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7724" y="1057275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12</xdr:row>
      <xdr:rowOff>0</xdr:rowOff>
    </xdr:from>
    <xdr:to>
      <xdr:col>1</xdr:col>
      <xdr:colOff>8229599</xdr:colOff>
      <xdr:row>12</xdr:row>
      <xdr:rowOff>4480726</xdr:rowOff>
    </xdr:to>
    <xdr:pic>
      <xdr:nvPicPr>
        <xdr:cNvPr id="53" name="Picture 52">
          <a:extLst>
            <a:ext uri="{FF2B5EF4-FFF2-40B4-BE49-F238E27FC236}">
              <a16:creationId xmlns:a16="http://schemas.microsoft.com/office/drawing/2014/main" id="{00000000-0008-0000-0A00-00003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3642" y="15267214"/>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14</xdr:row>
      <xdr:rowOff>-1</xdr:rowOff>
    </xdr:from>
    <xdr:to>
      <xdr:col>1</xdr:col>
      <xdr:colOff>8229599</xdr:colOff>
      <xdr:row>14</xdr:row>
      <xdr:rowOff>4480725</xdr:rowOff>
    </xdr:to>
    <xdr:pic>
      <xdr:nvPicPr>
        <xdr:cNvPr id="73" name="Picture 72">
          <a:extLst>
            <a:ext uri="{FF2B5EF4-FFF2-40B4-BE49-F238E27FC236}">
              <a16:creationId xmlns:a16="http://schemas.microsoft.com/office/drawing/2014/main" id="{00000000-0008-0000-0A00-00004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3642" y="19961678"/>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6</xdr:row>
      <xdr:rowOff>0</xdr:rowOff>
    </xdr:from>
    <xdr:to>
      <xdr:col>1</xdr:col>
      <xdr:colOff>8229599</xdr:colOff>
      <xdr:row>6</xdr:row>
      <xdr:rowOff>4480726</xdr:rowOff>
    </xdr:to>
    <xdr:pic>
      <xdr:nvPicPr>
        <xdr:cNvPr id="76" name="Picture 75">
          <a:extLst>
            <a:ext uri="{FF2B5EF4-FFF2-40B4-BE49-F238E27FC236}">
              <a16:creationId xmlns:a16="http://schemas.microsoft.com/office/drawing/2014/main" id="{00000000-0008-0000-0A00-00004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43642" y="1034143"/>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16</xdr:row>
      <xdr:rowOff>0</xdr:rowOff>
    </xdr:from>
    <xdr:to>
      <xdr:col>1</xdr:col>
      <xdr:colOff>8229599</xdr:colOff>
      <xdr:row>16</xdr:row>
      <xdr:rowOff>4480726</xdr:rowOff>
    </xdr:to>
    <xdr:pic>
      <xdr:nvPicPr>
        <xdr:cNvPr id="77" name="Picture 76">
          <a:extLst>
            <a:ext uri="{FF2B5EF4-FFF2-40B4-BE49-F238E27FC236}">
              <a16:creationId xmlns:a16="http://schemas.microsoft.com/office/drawing/2014/main" id="{00000000-0008-0000-0A00-00004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43642" y="24656143"/>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18</xdr:row>
      <xdr:rowOff>0</xdr:rowOff>
    </xdr:from>
    <xdr:to>
      <xdr:col>1</xdr:col>
      <xdr:colOff>8229599</xdr:colOff>
      <xdr:row>18</xdr:row>
      <xdr:rowOff>4480726</xdr:rowOff>
    </xdr:to>
    <xdr:pic>
      <xdr:nvPicPr>
        <xdr:cNvPr id="85" name="Picture 84">
          <a:extLst>
            <a:ext uri="{FF2B5EF4-FFF2-40B4-BE49-F238E27FC236}">
              <a16:creationId xmlns:a16="http://schemas.microsoft.com/office/drawing/2014/main" id="{00000000-0008-0000-0A00-000055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43642" y="2933700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843642</xdr:colOff>
      <xdr:row>20</xdr:row>
      <xdr:rowOff>0</xdr:rowOff>
    </xdr:from>
    <xdr:to>
      <xdr:col>1</xdr:col>
      <xdr:colOff>8229599</xdr:colOff>
      <xdr:row>20</xdr:row>
      <xdr:rowOff>4480726</xdr:rowOff>
    </xdr:to>
    <xdr:pic>
      <xdr:nvPicPr>
        <xdr:cNvPr id="86" name="Picture 85">
          <a:extLst>
            <a:ext uri="{FF2B5EF4-FFF2-40B4-BE49-F238E27FC236}">
              <a16:creationId xmlns:a16="http://schemas.microsoft.com/office/drawing/2014/main" id="{00000000-0008-0000-0A00-00005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3642" y="33949821"/>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8</xdr:row>
      <xdr:rowOff>0</xdr:rowOff>
    </xdr:from>
    <xdr:to>
      <xdr:col>4</xdr:col>
      <xdr:colOff>8229599</xdr:colOff>
      <xdr:row>8</xdr:row>
      <xdr:rowOff>4480726</xdr:rowOff>
    </xdr:to>
    <xdr:pic>
      <xdr:nvPicPr>
        <xdr:cNvPr id="17" name="Picture 16">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382249" y="5783036"/>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10</xdr:row>
      <xdr:rowOff>0</xdr:rowOff>
    </xdr:from>
    <xdr:to>
      <xdr:col>4</xdr:col>
      <xdr:colOff>8229599</xdr:colOff>
      <xdr:row>10</xdr:row>
      <xdr:rowOff>4480726</xdr:rowOff>
    </xdr:to>
    <xdr:pic>
      <xdr:nvPicPr>
        <xdr:cNvPr id="19" name="Picture 18">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382249" y="1047750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12</xdr:row>
      <xdr:rowOff>0</xdr:rowOff>
    </xdr:from>
    <xdr:to>
      <xdr:col>4</xdr:col>
      <xdr:colOff>8229599</xdr:colOff>
      <xdr:row>12</xdr:row>
      <xdr:rowOff>4480726</xdr:rowOff>
    </xdr:to>
    <xdr:pic>
      <xdr:nvPicPr>
        <xdr:cNvPr id="20" name="Picture 19">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382249" y="15171964"/>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14</xdr:row>
      <xdr:rowOff>0</xdr:rowOff>
    </xdr:from>
    <xdr:to>
      <xdr:col>4</xdr:col>
      <xdr:colOff>8229599</xdr:colOff>
      <xdr:row>14</xdr:row>
      <xdr:rowOff>4480726</xdr:rowOff>
    </xdr:to>
    <xdr:pic>
      <xdr:nvPicPr>
        <xdr:cNvPr id="21" name="Picture 20">
          <a:extLst>
            <a:ext uri="{FF2B5EF4-FFF2-40B4-BE49-F238E27FC236}">
              <a16:creationId xmlns:a16="http://schemas.microsoft.com/office/drawing/2014/main" id="{00000000-0008-0000-0A00-00001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382249" y="19866429"/>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16</xdr:row>
      <xdr:rowOff>0</xdr:rowOff>
    </xdr:from>
    <xdr:to>
      <xdr:col>4</xdr:col>
      <xdr:colOff>8229599</xdr:colOff>
      <xdr:row>16</xdr:row>
      <xdr:rowOff>4480726</xdr:rowOff>
    </xdr:to>
    <xdr:pic>
      <xdr:nvPicPr>
        <xdr:cNvPr id="22" name="Picture 21">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382249" y="24560893"/>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18</xdr:row>
      <xdr:rowOff>0</xdr:rowOff>
    </xdr:from>
    <xdr:to>
      <xdr:col>4</xdr:col>
      <xdr:colOff>8229599</xdr:colOff>
      <xdr:row>18</xdr:row>
      <xdr:rowOff>4480726</xdr:rowOff>
    </xdr:to>
    <xdr:pic>
      <xdr:nvPicPr>
        <xdr:cNvPr id="23" name="Picture 22">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382249" y="29241750"/>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612320</xdr:colOff>
      <xdr:row>20</xdr:row>
      <xdr:rowOff>0</xdr:rowOff>
    </xdr:from>
    <xdr:to>
      <xdr:col>4</xdr:col>
      <xdr:colOff>8229599</xdr:colOff>
      <xdr:row>20</xdr:row>
      <xdr:rowOff>4480726</xdr:rowOff>
    </xdr:to>
    <xdr:pic>
      <xdr:nvPicPr>
        <xdr:cNvPr id="24" name="Picture 23">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382249" y="33949821"/>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8</xdr:row>
      <xdr:rowOff>0</xdr:rowOff>
    </xdr:from>
    <xdr:to>
      <xdr:col>7</xdr:col>
      <xdr:colOff>8229599</xdr:colOff>
      <xdr:row>8</xdr:row>
      <xdr:rowOff>4480726</xdr:rowOff>
    </xdr:to>
    <xdr:pic>
      <xdr:nvPicPr>
        <xdr:cNvPr id="25" name="Picture 24">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9898590" y="5766955"/>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10</xdr:row>
      <xdr:rowOff>0</xdr:rowOff>
    </xdr:from>
    <xdr:to>
      <xdr:col>7</xdr:col>
      <xdr:colOff>8229599</xdr:colOff>
      <xdr:row>10</xdr:row>
      <xdr:rowOff>4480726</xdr:rowOff>
    </xdr:to>
    <xdr:pic>
      <xdr:nvPicPr>
        <xdr:cNvPr id="27" name="Picture 26">
          <a:extLst>
            <a:ext uri="{FF2B5EF4-FFF2-40B4-BE49-F238E27FC236}">
              <a16:creationId xmlns:a16="http://schemas.microsoft.com/office/drawing/2014/main" id="{00000000-0008-0000-0A00-00001B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9898590" y="10460182"/>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12</xdr:row>
      <xdr:rowOff>0</xdr:rowOff>
    </xdr:from>
    <xdr:to>
      <xdr:col>7</xdr:col>
      <xdr:colOff>8229599</xdr:colOff>
      <xdr:row>12</xdr:row>
      <xdr:rowOff>4480726</xdr:rowOff>
    </xdr:to>
    <xdr:pic>
      <xdr:nvPicPr>
        <xdr:cNvPr id="28" name="Picture 27">
          <a:extLst>
            <a:ext uri="{FF2B5EF4-FFF2-40B4-BE49-F238E27FC236}">
              <a16:creationId xmlns:a16="http://schemas.microsoft.com/office/drawing/2014/main" id="{00000000-0008-0000-0A00-00001C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9898590" y="15153409"/>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14</xdr:row>
      <xdr:rowOff>0</xdr:rowOff>
    </xdr:from>
    <xdr:to>
      <xdr:col>7</xdr:col>
      <xdr:colOff>8229599</xdr:colOff>
      <xdr:row>14</xdr:row>
      <xdr:rowOff>4480726</xdr:rowOff>
    </xdr:to>
    <xdr:pic>
      <xdr:nvPicPr>
        <xdr:cNvPr id="29" name="Picture 28">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9898590" y="19846636"/>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16</xdr:row>
      <xdr:rowOff>0</xdr:rowOff>
    </xdr:from>
    <xdr:to>
      <xdr:col>7</xdr:col>
      <xdr:colOff>8229599</xdr:colOff>
      <xdr:row>16</xdr:row>
      <xdr:rowOff>4480726</xdr:rowOff>
    </xdr:to>
    <xdr:pic>
      <xdr:nvPicPr>
        <xdr:cNvPr id="31" name="Picture 30">
          <a:extLst>
            <a:ext uri="{FF2B5EF4-FFF2-40B4-BE49-F238E27FC236}">
              <a16:creationId xmlns:a16="http://schemas.microsoft.com/office/drawing/2014/main" id="{00000000-0008-0000-0A00-00001F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9898590" y="24539864"/>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18</xdr:row>
      <xdr:rowOff>0</xdr:rowOff>
    </xdr:from>
    <xdr:to>
      <xdr:col>7</xdr:col>
      <xdr:colOff>8229599</xdr:colOff>
      <xdr:row>18</xdr:row>
      <xdr:rowOff>4480726</xdr:rowOff>
    </xdr:to>
    <xdr:pic>
      <xdr:nvPicPr>
        <xdr:cNvPr id="33" name="Picture 32">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9898590" y="29233091"/>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20</xdr:row>
      <xdr:rowOff>0</xdr:rowOff>
    </xdr:from>
    <xdr:to>
      <xdr:col>7</xdr:col>
      <xdr:colOff>8229599</xdr:colOff>
      <xdr:row>20</xdr:row>
      <xdr:rowOff>4480726</xdr:rowOff>
    </xdr:to>
    <xdr:pic>
      <xdr:nvPicPr>
        <xdr:cNvPr id="34" name="Picture 33">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9898590" y="33943636"/>
          <a:ext cx="8229600" cy="4480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7620</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1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7620</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1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7620</xdr:rowOff>
        </xdr:from>
        <xdr:to>
          <xdr:col>6</xdr:col>
          <xdr:colOff>876300</xdr:colOff>
          <xdr:row>36</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1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7620</xdr:rowOff>
        </xdr:from>
        <xdr:to>
          <xdr:col>6</xdr:col>
          <xdr:colOff>876300</xdr:colOff>
          <xdr:row>41</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1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7620</xdr:rowOff>
        </xdr:from>
        <xdr:to>
          <xdr:col>6</xdr:col>
          <xdr:colOff>876300</xdr:colOff>
          <xdr:row>38</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1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7620</xdr:rowOff>
        </xdr:from>
        <xdr:to>
          <xdr:col>6</xdr:col>
          <xdr:colOff>876300</xdr:colOff>
          <xdr:row>37</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1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7620</xdr:rowOff>
        </xdr:from>
        <xdr:to>
          <xdr:col>6</xdr:col>
          <xdr:colOff>876300</xdr:colOff>
          <xdr:row>40</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1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7620</xdr:rowOff>
        </xdr:from>
        <xdr:to>
          <xdr:col>6</xdr:col>
          <xdr:colOff>876300</xdr:colOff>
          <xdr:row>42</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1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7620</xdr:rowOff>
        </xdr:from>
        <xdr:to>
          <xdr:col>6</xdr:col>
          <xdr:colOff>876300</xdr:colOff>
          <xdr:row>43</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1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7620</xdr:rowOff>
        </xdr:from>
        <xdr:to>
          <xdr:col>6</xdr:col>
          <xdr:colOff>876300</xdr:colOff>
          <xdr:row>44</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1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7620</xdr:rowOff>
        </xdr:from>
        <xdr:to>
          <xdr:col>6</xdr:col>
          <xdr:colOff>876300</xdr:colOff>
          <xdr:row>35</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1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7620</xdr:rowOff>
        </xdr:from>
        <xdr:to>
          <xdr:col>6</xdr:col>
          <xdr:colOff>876300</xdr:colOff>
          <xdr:row>45</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1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7620</xdr:rowOff>
        </xdr:from>
        <xdr:to>
          <xdr:col>6</xdr:col>
          <xdr:colOff>876300</xdr:colOff>
          <xdr:row>34</xdr:row>
          <xdr:rowOff>0</xdr:rowOff>
        </xdr:to>
        <xdr:sp macro="" textlink="">
          <xdr:nvSpPr>
            <xdr:cNvPr id="674633" name="Drop Down 841" hidden="1">
              <a:extLst>
                <a:ext uri="{63B3BB69-23CF-44E3-9099-C40C66FF867C}">
                  <a14:compatExt spid="_x0000_s674633"/>
                </a:ext>
                <a:ext uri="{FF2B5EF4-FFF2-40B4-BE49-F238E27FC236}">
                  <a16:creationId xmlns:a16="http://schemas.microsoft.com/office/drawing/2014/main" id="{00000000-0008-0000-0100-000049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100-00004D000000}"/>
                </a:ext>
              </a:extLst>
            </xdr:cNvPr>
            <xdr:cNvPicPr>
              <a:picLocks noChangeAspect="1" noChangeArrowheads="1"/>
              <a:extLst>
                <a:ext uri="{84589F7E-364E-4C9E-8A38-B11213B215E9}">
                  <a14:cameraTool cellRange="PICTURE1" spid="_x0000_s706273"/>
                </a:ext>
              </a:extLst>
            </xdr:cNvPicPr>
          </xdr:nvPicPr>
          <xdr:blipFill>
            <a:blip xmlns:r="http://schemas.openxmlformats.org/officeDocument/2006/relationships" r:embed="rId1"/>
            <a:srcRect/>
            <a:stretch>
              <a:fillRect/>
            </a:stretch>
          </xdr:blipFill>
          <xdr:spPr bwMode="auto">
            <a:xfrm>
              <a:off x="370999" y="95250"/>
              <a:ext cx="7308175" cy="4172058"/>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420742</xdr:colOff>
      <xdr:row>9</xdr:row>
      <xdr:rowOff>23494</xdr:rowOff>
    </xdr:from>
    <xdr:to>
      <xdr:col>1</xdr:col>
      <xdr:colOff>743582</xdr:colOff>
      <xdr:row>10</xdr:row>
      <xdr:rowOff>95608</xdr:rowOff>
    </xdr:to>
    <xdr:sp macro="" textlink="">
      <xdr:nvSpPr>
        <xdr:cNvPr id="78" name="Text Box 244">
          <a:extLst>
            <a:ext uri="{FF2B5EF4-FFF2-40B4-BE49-F238E27FC236}">
              <a16:creationId xmlns:a16="http://schemas.microsoft.com/office/drawing/2014/main" id="{00000000-0008-0000-0100-00004E000000}"/>
            </a:ext>
          </a:extLst>
        </xdr:cNvPr>
        <xdr:cNvSpPr txBox="1">
          <a:spLocks noChangeArrowheads="1"/>
        </xdr:cNvSpPr>
      </xdr:nvSpPr>
      <xdr:spPr bwMode="auto">
        <a:xfrm>
          <a:off x="1058917" y="1480819"/>
          <a:ext cx="322840" cy="234039"/>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6</xdr:col>
      <xdr:colOff>847596</xdr:colOff>
      <xdr:row>7</xdr:row>
      <xdr:rowOff>63609</xdr:rowOff>
    </xdr:from>
    <xdr:to>
      <xdr:col>7</xdr:col>
      <xdr:colOff>265709</xdr:colOff>
      <xdr:row>8</xdr:row>
      <xdr:rowOff>84849</xdr:rowOff>
    </xdr:to>
    <xdr:sp macro="" textlink="'Variable Mgmt'!B213">
      <xdr:nvSpPr>
        <xdr:cNvPr id="79" name="Text Box 267">
          <a:extLst>
            <a:ext uri="{FF2B5EF4-FFF2-40B4-BE49-F238E27FC236}">
              <a16:creationId xmlns:a16="http://schemas.microsoft.com/office/drawing/2014/main" id="{00000000-0008-0000-0100-00004F000000}"/>
            </a:ext>
          </a:extLst>
        </xdr:cNvPr>
        <xdr:cNvSpPr txBox="1">
          <a:spLocks noChangeArrowheads="1" noTextEdit="1"/>
        </xdr:cNvSpPr>
      </xdr:nvSpPr>
      <xdr:spPr bwMode="auto">
        <a:xfrm>
          <a:off x="6543546" y="1197084"/>
          <a:ext cx="494438" cy="183165"/>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1100" b="0" i="0" u="none" strike="noStrike" baseline="0">
              <a:solidFill>
                <a:srgbClr val="000000"/>
              </a:solidFill>
              <a:latin typeface="Arial" pitchFamily="34" charset="0"/>
              <a:cs typeface="Arial" pitchFamily="34" charset="0"/>
            </a:rPr>
            <a:pPr algn="l" rtl="0">
              <a:defRPr sz="1000"/>
            </a:pPr>
            <a:t>88µF</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5</xdr:col>
      <xdr:colOff>224042</xdr:colOff>
      <xdr:row>9</xdr:row>
      <xdr:rowOff>105784</xdr:rowOff>
    </xdr:from>
    <xdr:to>
      <xdr:col>5</xdr:col>
      <xdr:colOff>675647</xdr:colOff>
      <xdr:row>11</xdr:row>
      <xdr:rowOff>40383</xdr:rowOff>
    </xdr:to>
    <xdr:sp macro="" textlink="'Variable Mgmt'!B199">
      <xdr:nvSpPr>
        <xdr:cNvPr id="80" name="Text Box 275">
          <a:extLst>
            <a:ext uri="{FF2B5EF4-FFF2-40B4-BE49-F238E27FC236}">
              <a16:creationId xmlns:a16="http://schemas.microsoft.com/office/drawing/2014/main" id="{00000000-0008-0000-0100-000050000000}"/>
            </a:ext>
          </a:extLst>
        </xdr:cNvPr>
        <xdr:cNvSpPr txBox="1">
          <a:spLocks noChangeArrowheads="1" noTextEdit="1"/>
        </xdr:cNvSpPr>
      </xdr:nvSpPr>
      <xdr:spPr bwMode="auto">
        <a:xfrm>
          <a:off x="5015117" y="1563109"/>
          <a:ext cx="451605" cy="258449"/>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1100" b="0" i="0" u="none" strike="noStrike" baseline="0">
              <a:solidFill>
                <a:srgbClr val="000000"/>
              </a:solidFill>
              <a:latin typeface="Arial" pitchFamily="34" charset="0"/>
              <a:cs typeface="Arial" pitchFamily="34" charset="0"/>
            </a:rPr>
            <a:pPr algn="ctr" rtl="0">
              <a:defRPr sz="1000"/>
            </a:pPr>
            <a:t>55µH</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1</xdr:col>
      <xdr:colOff>329828</xdr:colOff>
      <xdr:row>10</xdr:row>
      <xdr:rowOff>96372</xdr:rowOff>
    </xdr:from>
    <xdr:to>
      <xdr:col>2</xdr:col>
      <xdr:colOff>37577</xdr:colOff>
      <xdr:row>11</xdr:row>
      <xdr:rowOff>132518</xdr:rowOff>
    </xdr:to>
    <xdr:sp macro="" textlink="'Variable Mgmt'!B218">
      <xdr:nvSpPr>
        <xdr:cNvPr id="81" name="Text Box 276">
          <a:extLst>
            <a:ext uri="{FF2B5EF4-FFF2-40B4-BE49-F238E27FC236}">
              <a16:creationId xmlns:a16="http://schemas.microsoft.com/office/drawing/2014/main" id="{00000000-0008-0000-0100-000051000000}"/>
            </a:ext>
          </a:extLst>
        </xdr:cNvPr>
        <xdr:cNvSpPr txBox="1">
          <a:spLocks noChangeArrowheads="1" noTextEdit="1"/>
        </xdr:cNvSpPr>
      </xdr:nvSpPr>
      <xdr:spPr bwMode="auto">
        <a:xfrm>
          <a:off x="968003" y="1715622"/>
          <a:ext cx="469749" cy="198071"/>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1100" b="0" i="0" u="none" strike="noStrike" baseline="0">
              <a:solidFill>
                <a:srgbClr val="000000"/>
              </a:solidFill>
              <a:latin typeface="Arial" pitchFamily="34" charset="0"/>
              <a:cs typeface="Arial" pitchFamily="34" charset="0"/>
            </a:rPr>
            <a:pPr algn="ctr" rtl="0">
              <a:defRPr sz="1000"/>
            </a:pPr>
            <a:t>2,2µF</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xdr:col>
      <xdr:colOff>198843</xdr:colOff>
      <xdr:row>21</xdr:row>
      <xdr:rowOff>104015</xdr:rowOff>
    </xdr:from>
    <xdr:to>
      <xdr:col>2</xdr:col>
      <xdr:colOff>642811</xdr:colOff>
      <xdr:row>23</xdr:row>
      <xdr:rowOff>62417</xdr:rowOff>
    </xdr:to>
    <xdr:sp macro="" textlink="'Variable Mgmt'!D245">
      <xdr:nvSpPr>
        <xdr:cNvPr id="82" name="Text Box 281">
          <a:extLst>
            <a:ext uri="{FF2B5EF4-FFF2-40B4-BE49-F238E27FC236}">
              <a16:creationId xmlns:a16="http://schemas.microsoft.com/office/drawing/2014/main" id="{00000000-0008-0000-0100-000052000000}"/>
            </a:ext>
          </a:extLst>
        </xdr:cNvPr>
        <xdr:cNvSpPr txBox="1">
          <a:spLocks noChangeArrowheads="1" noTextEdit="1"/>
        </xdr:cNvSpPr>
      </xdr:nvSpPr>
      <xdr:spPr bwMode="auto">
        <a:xfrm>
          <a:off x="1599018" y="3504440"/>
          <a:ext cx="443968" cy="282252"/>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1100" b="0" i="0" u="none" strike="noStrike">
              <a:solidFill>
                <a:srgbClr val="000000"/>
              </a:solidFill>
              <a:latin typeface="Arial"/>
              <a:cs typeface="Arial"/>
            </a:rPr>
            <a:pPr algn="l" rtl="0">
              <a:defRPr sz="1000"/>
            </a:pPr>
            <a:t>22nF</a:t>
          </a:fld>
          <a:endParaRPr lang="en-US" sz="1100" b="0" i="0" strike="noStrike">
            <a:solidFill>
              <a:srgbClr val="000000"/>
            </a:solidFill>
            <a:latin typeface="Arial" pitchFamily="34" charset="0"/>
            <a:cs typeface="Arial" pitchFamily="34" charset="0"/>
          </a:endParaRPr>
        </a:p>
      </xdr:txBody>
    </xdr:sp>
    <xdr:clientData/>
  </xdr:twoCellAnchor>
  <xdr:twoCellAnchor>
    <xdr:from>
      <xdr:col>0</xdr:col>
      <xdr:colOff>344923</xdr:colOff>
      <xdr:row>2</xdr:row>
      <xdr:rowOff>118526</xdr:rowOff>
    </xdr:from>
    <xdr:to>
      <xdr:col>1</xdr:col>
      <xdr:colOff>219275</xdr:colOff>
      <xdr:row>5</xdr:row>
      <xdr:rowOff>91586</xdr:rowOff>
    </xdr:to>
    <xdr:sp macro="" textlink="'Variable Mgmt'!B205">
      <xdr:nvSpPr>
        <xdr:cNvPr id="85" name="Text Box 283">
          <a:extLst>
            <a:ext uri="{FF2B5EF4-FFF2-40B4-BE49-F238E27FC236}">
              <a16:creationId xmlns:a16="http://schemas.microsoft.com/office/drawing/2014/main" id="{00000000-0008-0000-0100-000055000000}"/>
            </a:ext>
          </a:extLst>
        </xdr:cNvPr>
        <xdr:cNvSpPr txBox="1">
          <a:spLocks noChangeArrowheads="1" noTextEdit="1"/>
        </xdr:cNvSpPr>
      </xdr:nvSpPr>
      <xdr:spPr bwMode="auto">
        <a:xfrm>
          <a:off x="344923" y="442376"/>
          <a:ext cx="512527" cy="458835"/>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24V</a:t>
          </a:fld>
          <a:endParaRPr lang="en-US" sz="1400" b="1" i="0" strike="noStrike">
            <a:solidFill>
              <a:srgbClr val="FF0000"/>
            </a:solidFill>
            <a:latin typeface="Arial" pitchFamily="34" charset="0"/>
            <a:cs typeface="Arial" pitchFamily="34" charset="0"/>
          </a:endParaRPr>
        </a:p>
      </xdr:txBody>
    </xdr:sp>
    <xdr:clientData/>
  </xdr:twoCellAnchor>
  <xdr:twoCellAnchor>
    <xdr:from>
      <xdr:col>7</xdr:col>
      <xdr:colOff>269013</xdr:colOff>
      <xdr:row>3</xdr:row>
      <xdr:rowOff>3197</xdr:rowOff>
    </xdr:from>
    <xdr:to>
      <xdr:col>7</xdr:col>
      <xdr:colOff>935407</xdr:colOff>
      <xdr:row>5</xdr:row>
      <xdr:rowOff>25976</xdr:rowOff>
    </xdr:to>
    <xdr:sp macro="" textlink="'Variable Mgmt'!B208">
      <xdr:nvSpPr>
        <xdr:cNvPr id="87" name="Text Box 285">
          <a:extLst>
            <a:ext uri="{FF2B5EF4-FFF2-40B4-BE49-F238E27FC236}">
              <a16:creationId xmlns:a16="http://schemas.microsoft.com/office/drawing/2014/main" id="{00000000-0008-0000-0100-000057000000}"/>
            </a:ext>
          </a:extLst>
        </xdr:cNvPr>
        <xdr:cNvSpPr txBox="1">
          <a:spLocks noChangeArrowheads="1" noTextEdit="1"/>
        </xdr:cNvSpPr>
      </xdr:nvSpPr>
      <xdr:spPr bwMode="auto">
        <a:xfrm>
          <a:off x="7041288" y="48897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6,3V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7</xdr:col>
      <xdr:colOff>173474</xdr:colOff>
      <xdr:row>4</xdr:row>
      <xdr:rowOff>112611</xdr:rowOff>
    </xdr:from>
    <xdr:to>
      <xdr:col>7</xdr:col>
      <xdr:colOff>725923</xdr:colOff>
      <xdr:row>6</xdr:row>
      <xdr:rowOff>93051</xdr:rowOff>
    </xdr:to>
    <xdr:sp macro="" textlink="'Variable Mgmt'!B263">
      <xdr:nvSpPr>
        <xdr:cNvPr id="88" name="Text Box 286">
          <a:extLst>
            <a:ext uri="{FF2B5EF4-FFF2-40B4-BE49-F238E27FC236}">
              <a16:creationId xmlns:a16="http://schemas.microsoft.com/office/drawing/2014/main" id="{00000000-0008-0000-0100-000058000000}"/>
            </a:ext>
          </a:extLst>
        </xdr:cNvPr>
        <xdr:cNvSpPr txBox="1">
          <a:spLocks noChangeArrowheads="1" noTextEdit="1"/>
        </xdr:cNvSpPr>
      </xdr:nvSpPr>
      <xdr:spPr bwMode="auto">
        <a:xfrm>
          <a:off x="6945749" y="760311"/>
          <a:ext cx="552449"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0,1A</a:t>
          </a:fld>
          <a:endParaRPr lang="en-US" sz="1350" b="1" i="0" strike="noStrike">
            <a:solidFill>
              <a:srgbClr val="FF0000"/>
            </a:solidFill>
            <a:latin typeface="Arial" pitchFamily="34" charset="0"/>
            <a:cs typeface="Arial" pitchFamily="34" charset="0"/>
          </a:endParaRPr>
        </a:p>
      </xdr:txBody>
    </xdr:sp>
    <xdr:clientData/>
  </xdr:twoCellAnchor>
  <xdr:twoCellAnchor>
    <xdr:from>
      <xdr:col>2</xdr:col>
      <xdr:colOff>217360</xdr:colOff>
      <xdr:row>7</xdr:row>
      <xdr:rowOff>99362</xdr:rowOff>
    </xdr:from>
    <xdr:to>
      <xdr:col>2</xdr:col>
      <xdr:colOff>742058</xdr:colOff>
      <xdr:row>9</xdr:row>
      <xdr:rowOff>29041</xdr:rowOff>
    </xdr:to>
    <xdr:sp macro="" textlink="'Variable Mgmt'!C237">
      <xdr:nvSpPr>
        <xdr:cNvPr id="92" name="Text Box 268">
          <a:extLst>
            <a:ext uri="{FF2B5EF4-FFF2-40B4-BE49-F238E27FC236}">
              <a16:creationId xmlns:a16="http://schemas.microsoft.com/office/drawing/2014/main" id="{00000000-0008-0000-0100-00005C000000}"/>
            </a:ext>
          </a:extLst>
        </xdr:cNvPr>
        <xdr:cNvSpPr txBox="1">
          <a:spLocks noChangeArrowheads="1" noTextEdit="1"/>
        </xdr:cNvSpPr>
      </xdr:nvSpPr>
      <xdr:spPr bwMode="auto">
        <a:xfrm>
          <a:off x="1617535" y="1232837"/>
          <a:ext cx="524698" cy="253529"/>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536kΩ</a:t>
          </a:fld>
          <a:endParaRPr lang="el-GR" sz="1000" b="0" i="0" strike="noStrike">
            <a:solidFill>
              <a:srgbClr val="000000"/>
            </a:solidFill>
            <a:latin typeface="Arial" pitchFamily="34" charset="0"/>
            <a:cs typeface="Arial" pitchFamily="34" charset="0"/>
          </a:endParaRPr>
        </a:p>
      </xdr:txBody>
    </xdr:sp>
    <xdr:clientData/>
  </xdr:twoCellAnchor>
  <xdr:twoCellAnchor>
    <xdr:from>
      <xdr:col>2</xdr:col>
      <xdr:colOff>198310</xdr:colOff>
      <xdr:row>13</xdr:row>
      <xdr:rowOff>137646</xdr:rowOff>
    </xdr:from>
    <xdr:to>
      <xdr:col>2</xdr:col>
      <xdr:colOff>723008</xdr:colOff>
      <xdr:row>15</xdr:row>
      <xdr:rowOff>31908</xdr:rowOff>
    </xdr:to>
    <xdr:sp macro="" textlink="'Variable Mgmt'!C238">
      <xdr:nvSpPr>
        <xdr:cNvPr id="93" name="Text Box 268">
          <a:extLst>
            <a:ext uri="{FF2B5EF4-FFF2-40B4-BE49-F238E27FC236}">
              <a16:creationId xmlns:a16="http://schemas.microsoft.com/office/drawing/2014/main" id="{00000000-0008-0000-0100-00005D000000}"/>
            </a:ext>
          </a:extLst>
        </xdr:cNvPr>
        <xdr:cNvSpPr txBox="1">
          <a:spLocks noChangeArrowheads="1" noTextEdit="1"/>
        </xdr:cNvSpPr>
      </xdr:nvSpPr>
      <xdr:spPr bwMode="auto">
        <a:xfrm>
          <a:off x="1598485" y="2242671"/>
          <a:ext cx="524698" cy="218112"/>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100kΩ</a:t>
          </a:fld>
          <a:endParaRPr lang="el-GR" sz="1000" b="0" i="0" strike="noStrike">
            <a:solidFill>
              <a:srgbClr val="000000"/>
            </a:solidFill>
            <a:latin typeface="Arial" pitchFamily="34" charset="0"/>
            <a:cs typeface="Arial" pitchFamily="34" charset="0"/>
          </a:endParaRPr>
        </a:p>
      </xdr:txBody>
    </xdr:sp>
    <xdr:clientData/>
  </xdr:twoCellAnchor>
  <xdr:twoCellAnchor>
    <xdr:from>
      <xdr:col>4</xdr:col>
      <xdr:colOff>659751</xdr:colOff>
      <xdr:row>14</xdr:row>
      <xdr:rowOff>38988</xdr:rowOff>
    </xdr:from>
    <xdr:to>
      <xdr:col>5</xdr:col>
      <xdr:colOff>29192</xdr:colOff>
      <xdr:row>15</xdr:row>
      <xdr:rowOff>121560</xdr:rowOff>
    </xdr:to>
    <xdr:sp macro="" textlink="'Variable Mgmt'!C227">
      <xdr:nvSpPr>
        <xdr:cNvPr id="94" name="Text Box 268">
          <a:extLst>
            <a:ext uri="{FF2B5EF4-FFF2-40B4-BE49-F238E27FC236}">
              <a16:creationId xmlns:a16="http://schemas.microsoft.com/office/drawing/2014/main" id="{00000000-0008-0000-0100-00005E000000}"/>
            </a:ext>
          </a:extLst>
        </xdr:cNvPr>
        <xdr:cNvSpPr txBox="1">
          <a:spLocks noChangeArrowheads="1" noTextEdit="1"/>
        </xdr:cNvSpPr>
      </xdr:nvSpPr>
      <xdr:spPr bwMode="auto">
        <a:xfrm>
          <a:off x="4298301" y="2305938"/>
          <a:ext cx="521966" cy="244497"/>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1100" b="0" i="0" u="none" strike="noStrike">
              <a:solidFill>
                <a:srgbClr val="000000"/>
              </a:solidFill>
              <a:latin typeface="Arial"/>
              <a:cs typeface="Arial"/>
            </a:rPr>
            <a:pPr algn="l" rtl="0">
              <a:defRPr sz="1000"/>
            </a:pPr>
            <a:t>150kΩ</a:t>
          </a:fld>
          <a:endParaRPr lang="el-GR" sz="1800" b="0" i="0" strike="noStrike">
            <a:solidFill>
              <a:srgbClr val="000000"/>
            </a:solidFill>
            <a:latin typeface="Arial" pitchFamily="34" charset="0"/>
            <a:cs typeface="Arial" pitchFamily="34" charset="0"/>
          </a:endParaRPr>
        </a:p>
      </xdr:txBody>
    </xdr:sp>
    <xdr:clientData/>
  </xdr:twoCellAnchor>
  <xdr:twoCellAnchor>
    <xdr:from>
      <xdr:col>5</xdr:col>
      <xdr:colOff>157931</xdr:colOff>
      <xdr:row>20</xdr:row>
      <xdr:rowOff>88956</xdr:rowOff>
    </xdr:from>
    <xdr:to>
      <xdr:col>5</xdr:col>
      <xdr:colOff>672415</xdr:colOff>
      <xdr:row>21</xdr:row>
      <xdr:rowOff>128452</xdr:rowOff>
    </xdr:to>
    <xdr:sp macro="" textlink="'Variable Mgmt'!C241">
      <xdr:nvSpPr>
        <xdr:cNvPr id="95" name="Text Box 265">
          <a:extLst>
            <a:ext uri="{FF2B5EF4-FFF2-40B4-BE49-F238E27FC236}">
              <a16:creationId xmlns:a16="http://schemas.microsoft.com/office/drawing/2014/main" id="{00000000-0008-0000-0100-00005F000000}"/>
            </a:ext>
          </a:extLst>
        </xdr:cNvPr>
        <xdr:cNvSpPr txBox="1">
          <a:spLocks noChangeArrowheads="1" noTextEdit="1"/>
        </xdr:cNvSpPr>
      </xdr:nvSpPr>
      <xdr:spPr bwMode="auto">
        <a:xfrm>
          <a:off x="4949006" y="3327456"/>
          <a:ext cx="514484" cy="20142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1100" b="0" i="0" u="none" strike="noStrike" baseline="0">
              <a:solidFill>
                <a:srgbClr val="000000"/>
              </a:solidFill>
              <a:latin typeface="Arial"/>
              <a:cs typeface="Arial"/>
            </a:rPr>
            <a:pPr algn="l" rtl="0">
              <a:defRPr sz="1000"/>
            </a:pPr>
            <a:t>12.1kΩ</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0</xdr:col>
      <xdr:colOff>95250</xdr:colOff>
      <xdr:row>5</xdr:row>
      <xdr:rowOff>6666</xdr:rowOff>
    </xdr:from>
    <xdr:to>
      <xdr:col>1</xdr:col>
      <xdr:colOff>740109</xdr:colOff>
      <xdr:row>6</xdr:row>
      <xdr:rowOff>133349</xdr:rowOff>
    </xdr:to>
    <xdr:sp macro="" textlink="'Variable Mgmt'!B206">
      <xdr:nvSpPr>
        <xdr:cNvPr id="96" name="Text Box 283">
          <a:extLst>
            <a:ext uri="{FF2B5EF4-FFF2-40B4-BE49-F238E27FC236}">
              <a16:creationId xmlns:a16="http://schemas.microsoft.com/office/drawing/2014/main" id="{00000000-0008-0000-0100-000060000000}"/>
            </a:ext>
          </a:extLst>
        </xdr:cNvPr>
        <xdr:cNvSpPr txBox="1">
          <a:spLocks noChangeArrowheads="1" noTextEdit="1"/>
        </xdr:cNvSpPr>
      </xdr:nvSpPr>
      <xdr:spPr bwMode="auto">
        <a:xfrm>
          <a:off x="95250" y="816291"/>
          <a:ext cx="1283034" cy="288608"/>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1200" b="1" i="0" u="none" strike="noStrike">
              <a:solidFill>
                <a:srgbClr val="000000"/>
              </a:solidFill>
              <a:latin typeface="Arial"/>
              <a:cs typeface="Arial"/>
            </a:rPr>
            <a:pPr algn="ctr" rtl="0">
              <a:defRPr sz="1000"/>
            </a:pPr>
            <a:t>10V...50V</a:t>
          </a:fld>
          <a:endParaRPr lang="en-US" sz="1200" b="1" i="0" strike="noStrike">
            <a:solidFill>
              <a:srgbClr val="000000"/>
            </a:solidFill>
            <a:latin typeface="Arial" pitchFamily="34" charset="0"/>
            <a:cs typeface="Arial" pitchFamily="34" charset="0"/>
          </a:endParaRPr>
        </a:p>
      </xdr:txBody>
    </xdr:sp>
    <xdr:clientData/>
  </xdr:twoCellAnchor>
  <xdr:twoCellAnchor>
    <xdr:from>
      <xdr:col>4</xdr:col>
      <xdr:colOff>679229</xdr:colOff>
      <xdr:row>18</xdr:row>
      <xdr:rowOff>149860</xdr:rowOff>
    </xdr:from>
    <xdr:to>
      <xdr:col>4</xdr:col>
      <xdr:colOff>1010101</xdr:colOff>
      <xdr:row>20</xdr:row>
      <xdr:rowOff>77900</xdr:rowOff>
    </xdr:to>
    <xdr:sp macro="" textlink="'Variable Mgmt'!C233">
      <xdr:nvSpPr>
        <xdr:cNvPr id="97" name="Text Box 225">
          <a:extLst>
            <a:ext uri="{FF2B5EF4-FFF2-40B4-BE49-F238E27FC236}">
              <a16:creationId xmlns:a16="http://schemas.microsoft.com/office/drawing/2014/main" id="{00000000-0008-0000-0100-000061000000}"/>
            </a:ext>
          </a:extLst>
        </xdr:cNvPr>
        <xdr:cNvSpPr txBox="1">
          <a:spLocks noChangeArrowheads="1"/>
        </xdr:cNvSpPr>
      </xdr:nvSpPr>
      <xdr:spPr bwMode="auto">
        <a:xfrm>
          <a:off x="4317779" y="3064510"/>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 </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4</xdr:col>
      <xdr:colOff>631623</xdr:colOff>
      <xdr:row>20</xdr:row>
      <xdr:rowOff>71205</xdr:rowOff>
    </xdr:from>
    <xdr:to>
      <xdr:col>4</xdr:col>
      <xdr:colOff>1147003</xdr:colOff>
      <xdr:row>21</xdr:row>
      <xdr:rowOff>142012</xdr:rowOff>
    </xdr:to>
    <xdr:sp macro="" textlink="'Variable Mgmt'!B233">
      <xdr:nvSpPr>
        <xdr:cNvPr id="98" name="Text Box 268">
          <a:extLst>
            <a:ext uri="{FF2B5EF4-FFF2-40B4-BE49-F238E27FC236}">
              <a16:creationId xmlns:a16="http://schemas.microsoft.com/office/drawing/2014/main" id="{00000000-0008-0000-0100-000062000000}"/>
            </a:ext>
          </a:extLst>
        </xdr:cNvPr>
        <xdr:cNvSpPr txBox="1">
          <a:spLocks noChangeArrowheads="1" noTextEdit="1"/>
        </xdr:cNvSpPr>
      </xdr:nvSpPr>
      <xdr:spPr bwMode="auto">
        <a:xfrm>
          <a:off x="4270173" y="3309705"/>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 </a:t>
          </a:fld>
          <a:endParaRPr lang="el-GR" sz="1100" b="0" i="0" strike="noStrike">
            <a:solidFill>
              <a:srgbClr val="000000"/>
            </a:solidFill>
            <a:latin typeface="Arial" pitchFamily="34" charset="0"/>
            <a:cs typeface="Arial" pitchFamily="34" charset="0"/>
          </a:endParaRPr>
        </a:p>
      </xdr:txBody>
    </xdr:sp>
    <xdr:clientData/>
  </xdr:twoCellAnchor>
  <xdr:twoCellAnchor>
    <xdr:from>
      <xdr:col>2</xdr:col>
      <xdr:colOff>237557</xdr:colOff>
      <xdr:row>6</xdr:row>
      <xdr:rowOff>57806</xdr:rowOff>
    </xdr:from>
    <xdr:to>
      <xdr:col>2</xdr:col>
      <xdr:colOff>639607</xdr:colOff>
      <xdr:row>7</xdr:row>
      <xdr:rowOff>125922</xdr:rowOff>
    </xdr:to>
    <xdr:sp macro="" textlink="'Variable Mgmt'!C236">
      <xdr:nvSpPr>
        <xdr:cNvPr id="99" name="Text Box 264">
          <a:extLst>
            <a:ext uri="{FF2B5EF4-FFF2-40B4-BE49-F238E27FC236}">
              <a16:creationId xmlns:a16="http://schemas.microsoft.com/office/drawing/2014/main" id="{00000000-0008-0000-0100-000063000000}"/>
            </a:ext>
          </a:extLst>
        </xdr:cNvPr>
        <xdr:cNvSpPr txBox="1">
          <a:spLocks noChangeArrowheads="1" noTextEdit="1"/>
        </xdr:cNvSpPr>
      </xdr:nvSpPr>
      <xdr:spPr bwMode="auto">
        <a:xfrm>
          <a:off x="1637732" y="1029356"/>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237557</xdr:colOff>
      <xdr:row>12</xdr:row>
      <xdr:rowOff>115234</xdr:rowOff>
    </xdr:from>
    <xdr:to>
      <xdr:col>2</xdr:col>
      <xdr:colOff>661587</xdr:colOff>
      <xdr:row>13</xdr:row>
      <xdr:rowOff>135750</xdr:rowOff>
    </xdr:to>
    <xdr:sp macro="" textlink="'Variable Mgmt'!D236">
      <xdr:nvSpPr>
        <xdr:cNvPr id="100" name="Text Box 264">
          <a:extLst>
            <a:ext uri="{FF2B5EF4-FFF2-40B4-BE49-F238E27FC236}">
              <a16:creationId xmlns:a16="http://schemas.microsoft.com/office/drawing/2014/main" id="{00000000-0008-0000-0100-000064000000}"/>
            </a:ext>
          </a:extLst>
        </xdr:cNvPr>
        <xdr:cNvSpPr txBox="1">
          <a:spLocks noChangeArrowheads="1" noTextEdit="1"/>
        </xdr:cNvSpPr>
      </xdr:nvSpPr>
      <xdr:spPr bwMode="auto">
        <a:xfrm>
          <a:off x="1637732" y="2058334"/>
          <a:ext cx="424030" cy="182441"/>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216427</xdr:colOff>
      <xdr:row>20</xdr:row>
      <xdr:rowOff>331</xdr:rowOff>
    </xdr:from>
    <xdr:to>
      <xdr:col>2</xdr:col>
      <xdr:colOff>660395</xdr:colOff>
      <xdr:row>22</xdr:row>
      <xdr:rowOff>12593</xdr:rowOff>
    </xdr:to>
    <xdr:sp macro="" textlink="'Variable Mgmt'!C246">
      <xdr:nvSpPr>
        <xdr:cNvPr id="101" name="Text Box 281">
          <a:extLst>
            <a:ext uri="{FF2B5EF4-FFF2-40B4-BE49-F238E27FC236}">
              <a16:creationId xmlns:a16="http://schemas.microsoft.com/office/drawing/2014/main" id="{00000000-0008-0000-0100-000065000000}"/>
            </a:ext>
          </a:extLst>
        </xdr:cNvPr>
        <xdr:cNvSpPr txBox="1">
          <a:spLocks noChangeArrowheads="1" noTextEdit="1"/>
        </xdr:cNvSpPr>
      </xdr:nvSpPr>
      <xdr:spPr bwMode="auto">
        <a:xfrm>
          <a:off x="1616602" y="3238831"/>
          <a:ext cx="443968" cy="336112"/>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xdr:from>
      <xdr:col>4</xdr:col>
      <xdr:colOff>682414</xdr:colOff>
      <xdr:row>12</xdr:row>
      <xdr:rowOff>161265</xdr:rowOff>
    </xdr:from>
    <xdr:to>
      <xdr:col>4</xdr:col>
      <xdr:colOff>1005254</xdr:colOff>
      <xdr:row>14</xdr:row>
      <xdr:rowOff>69989</xdr:rowOff>
    </xdr:to>
    <xdr:sp macro="" textlink="">
      <xdr:nvSpPr>
        <xdr:cNvPr id="103" name="Text Box 244">
          <a:extLst>
            <a:ext uri="{FF2B5EF4-FFF2-40B4-BE49-F238E27FC236}">
              <a16:creationId xmlns:a16="http://schemas.microsoft.com/office/drawing/2014/main" id="{00000000-0008-0000-0100-000067000000}"/>
            </a:ext>
          </a:extLst>
        </xdr:cNvPr>
        <xdr:cNvSpPr txBox="1">
          <a:spLocks noChangeArrowheads="1"/>
        </xdr:cNvSpPr>
      </xdr:nvSpPr>
      <xdr:spPr bwMode="auto">
        <a:xfrm>
          <a:off x="4320964" y="2104365"/>
          <a:ext cx="322840" cy="23257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5</xdr:col>
      <xdr:colOff>184207</xdr:colOff>
      <xdr:row>19</xdr:row>
      <xdr:rowOff>9801</xdr:rowOff>
    </xdr:from>
    <xdr:to>
      <xdr:col>5</xdr:col>
      <xdr:colOff>571224</xdr:colOff>
      <xdr:row>20</xdr:row>
      <xdr:rowOff>81258</xdr:rowOff>
    </xdr:to>
    <xdr:sp macro="" textlink="">
      <xdr:nvSpPr>
        <xdr:cNvPr id="104" name="Text Box 244">
          <a:extLst>
            <a:ext uri="{FF2B5EF4-FFF2-40B4-BE49-F238E27FC236}">
              <a16:creationId xmlns:a16="http://schemas.microsoft.com/office/drawing/2014/main" id="{00000000-0008-0000-0100-000068000000}"/>
            </a:ext>
          </a:extLst>
        </xdr:cNvPr>
        <xdr:cNvSpPr txBox="1">
          <a:spLocks noChangeArrowheads="1"/>
        </xdr:cNvSpPr>
      </xdr:nvSpPr>
      <xdr:spPr bwMode="auto">
        <a:xfrm>
          <a:off x="4975282" y="3086376"/>
          <a:ext cx="387017" cy="233382"/>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4</xdr:col>
      <xdr:colOff>216702</xdr:colOff>
      <xdr:row>5</xdr:row>
      <xdr:rowOff>7931</xdr:rowOff>
    </xdr:from>
    <xdr:to>
      <xdr:col>4</xdr:col>
      <xdr:colOff>680586</xdr:colOff>
      <xdr:row>6</xdr:row>
      <xdr:rowOff>105017</xdr:rowOff>
    </xdr:to>
    <xdr:sp macro="" textlink="">
      <xdr:nvSpPr>
        <xdr:cNvPr id="105" name="Text Box 235">
          <a:extLst>
            <a:ext uri="{FF2B5EF4-FFF2-40B4-BE49-F238E27FC236}">
              <a16:creationId xmlns:a16="http://schemas.microsoft.com/office/drawing/2014/main" id="{00000000-0008-0000-0100-000069000000}"/>
            </a:ext>
          </a:extLst>
        </xdr:cNvPr>
        <xdr:cNvSpPr txBox="1">
          <a:spLocks noChangeArrowheads="1"/>
        </xdr:cNvSpPr>
      </xdr:nvSpPr>
      <xdr:spPr bwMode="auto">
        <a:xfrm>
          <a:off x="3855252" y="817556"/>
          <a:ext cx="463884" cy="259011"/>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4</xdr:col>
      <xdr:colOff>501318</xdr:colOff>
      <xdr:row>9</xdr:row>
      <xdr:rowOff>20387</xdr:rowOff>
    </xdr:from>
    <xdr:to>
      <xdr:col>4</xdr:col>
      <xdr:colOff>770618</xdr:colOff>
      <xdr:row>10</xdr:row>
      <xdr:rowOff>119671</xdr:rowOff>
    </xdr:to>
    <xdr:sp macro="" textlink="">
      <xdr:nvSpPr>
        <xdr:cNvPr id="126" name="Text Box 235">
          <a:extLst>
            <a:ext uri="{FF2B5EF4-FFF2-40B4-BE49-F238E27FC236}">
              <a16:creationId xmlns:a16="http://schemas.microsoft.com/office/drawing/2014/main" id="{00000000-0008-0000-0100-00007E000000}"/>
            </a:ext>
          </a:extLst>
        </xdr:cNvPr>
        <xdr:cNvSpPr txBox="1">
          <a:spLocks noChangeArrowheads="1"/>
        </xdr:cNvSpPr>
      </xdr:nvSpPr>
      <xdr:spPr bwMode="auto">
        <a:xfrm>
          <a:off x="4139868" y="1477712"/>
          <a:ext cx="269300" cy="261209"/>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xdr:twoCellAnchor>
    <xdr:from>
      <xdr:col>5</xdr:col>
      <xdr:colOff>142399</xdr:colOff>
      <xdr:row>8</xdr:row>
      <xdr:rowOff>104775</xdr:rowOff>
    </xdr:from>
    <xdr:to>
      <xdr:col>5</xdr:col>
      <xdr:colOff>790575</xdr:colOff>
      <xdr:row>10</xdr:row>
      <xdr:rowOff>0</xdr:rowOff>
    </xdr:to>
    <xdr:sp macro="" textlink="'Variable Mgmt'!B201">
      <xdr:nvSpPr>
        <xdr:cNvPr id="127" name="Text Box 265">
          <a:extLst>
            <a:ext uri="{FF2B5EF4-FFF2-40B4-BE49-F238E27FC236}">
              <a16:creationId xmlns:a16="http://schemas.microsoft.com/office/drawing/2014/main" id="{00000000-0008-0000-0100-00007F000000}"/>
            </a:ext>
          </a:extLst>
        </xdr:cNvPr>
        <xdr:cNvSpPr txBox="1">
          <a:spLocks noChangeArrowheads="1" noTextEdit="1"/>
        </xdr:cNvSpPr>
      </xdr:nvSpPr>
      <xdr:spPr bwMode="auto">
        <a:xfrm>
          <a:off x="4933474" y="1400175"/>
          <a:ext cx="648176" cy="219075"/>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2 : 1 : 2,33</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7</xdr:col>
      <xdr:colOff>288063</xdr:colOff>
      <xdr:row>11</xdr:row>
      <xdr:rowOff>136547</xdr:rowOff>
    </xdr:from>
    <xdr:to>
      <xdr:col>7</xdr:col>
      <xdr:colOff>954457</xdr:colOff>
      <xdr:row>13</xdr:row>
      <xdr:rowOff>159326</xdr:rowOff>
    </xdr:to>
    <xdr:sp macro="" textlink="'Variable Mgmt'!B209">
      <xdr:nvSpPr>
        <xdr:cNvPr id="128" name="Text Box 285">
          <a:extLst>
            <a:ext uri="{FF2B5EF4-FFF2-40B4-BE49-F238E27FC236}">
              <a16:creationId xmlns:a16="http://schemas.microsoft.com/office/drawing/2014/main" id="{00000000-0008-0000-0100-000080000000}"/>
            </a:ext>
          </a:extLst>
        </xdr:cNvPr>
        <xdr:cNvSpPr txBox="1">
          <a:spLocks noChangeArrowheads="1" noTextEdit="1"/>
        </xdr:cNvSpPr>
      </xdr:nvSpPr>
      <xdr:spPr bwMode="auto">
        <a:xfrm>
          <a:off x="7060338" y="19177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7</xdr:col>
      <xdr:colOff>133350</xdr:colOff>
      <xdr:row>13</xdr:row>
      <xdr:rowOff>74511</xdr:rowOff>
    </xdr:from>
    <xdr:to>
      <xdr:col>7</xdr:col>
      <xdr:colOff>733425</xdr:colOff>
      <xdr:row>15</xdr:row>
      <xdr:rowOff>54951</xdr:rowOff>
    </xdr:to>
    <xdr:sp macro="" textlink="'Variable Mgmt'!B264">
      <xdr:nvSpPr>
        <xdr:cNvPr id="129" name="Text Box 286">
          <a:extLst>
            <a:ext uri="{FF2B5EF4-FFF2-40B4-BE49-F238E27FC236}">
              <a16:creationId xmlns:a16="http://schemas.microsoft.com/office/drawing/2014/main" id="{00000000-0008-0000-0100-000081000000}"/>
            </a:ext>
          </a:extLst>
        </xdr:cNvPr>
        <xdr:cNvSpPr txBox="1">
          <a:spLocks noChangeArrowheads="1" noTextEdit="1"/>
        </xdr:cNvSpPr>
      </xdr:nvSpPr>
      <xdr:spPr bwMode="auto">
        <a:xfrm>
          <a:off x="6905625" y="2179536"/>
          <a:ext cx="600075"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7</xdr:col>
      <xdr:colOff>278538</xdr:colOff>
      <xdr:row>14</xdr:row>
      <xdr:rowOff>146072</xdr:rowOff>
    </xdr:from>
    <xdr:to>
      <xdr:col>7</xdr:col>
      <xdr:colOff>944932</xdr:colOff>
      <xdr:row>17</xdr:row>
      <xdr:rowOff>6926</xdr:rowOff>
    </xdr:to>
    <xdr:sp macro="" textlink="'Variable Mgmt'!B210">
      <xdr:nvSpPr>
        <xdr:cNvPr id="130" name="Text Box 285">
          <a:extLst>
            <a:ext uri="{FF2B5EF4-FFF2-40B4-BE49-F238E27FC236}">
              <a16:creationId xmlns:a16="http://schemas.microsoft.com/office/drawing/2014/main" id="{00000000-0008-0000-0100-000082000000}"/>
            </a:ext>
          </a:extLst>
        </xdr:cNvPr>
        <xdr:cNvSpPr txBox="1">
          <a:spLocks noChangeArrowheads="1" noTextEdit="1"/>
        </xdr:cNvSpPr>
      </xdr:nvSpPr>
      <xdr:spPr bwMode="auto">
        <a:xfrm>
          <a:off x="7050813" y="24130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-15V</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7</xdr:col>
      <xdr:colOff>105866</xdr:colOff>
      <xdr:row>16</xdr:row>
      <xdr:rowOff>84036</xdr:rowOff>
    </xdr:from>
    <xdr:to>
      <xdr:col>7</xdr:col>
      <xdr:colOff>859940</xdr:colOff>
      <xdr:row>18</xdr:row>
      <xdr:rowOff>64476</xdr:rowOff>
    </xdr:to>
    <xdr:sp macro="" textlink="'Variable Mgmt'!B265">
      <xdr:nvSpPr>
        <xdr:cNvPr id="131" name="Text Box 286">
          <a:extLst>
            <a:ext uri="{FF2B5EF4-FFF2-40B4-BE49-F238E27FC236}">
              <a16:creationId xmlns:a16="http://schemas.microsoft.com/office/drawing/2014/main" id="{00000000-0008-0000-0100-000083000000}"/>
            </a:ext>
          </a:extLst>
        </xdr:cNvPr>
        <xdr:cNvSpPr txBox="1">
          <a:spLocks noChangeArrowheads="1" noTextEdit="1"/>
        </xdr:cNvSpPr>
      </xdr:nvSpPr>
      <xdr:spPr bwMode="auto">
        <a:xfrm>
          <a:off x="6878141" y="2674836"/>
          <a:ext cx="754074"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-0,1A</a:t>
          </a:fld>
          <a:endParaRPr lang="en-US" sz="1350" b="1" i="0" strike="noStrike">
            <a:solidFill>
              <a:srgbClr val="FF0000"/>
            </a:solidFill>
            <a:latin typeface="Arial" pitchFamily="34" charset="0"/>
            <a:cs typeface="Arial" pitchFamily="34" charset="0"/>
          </a:endParaRPr>
        </a:p>
      </xdr:txBody>
    </xdr:sp>
    <xdr:clientData/>
  </xdr:twoCellAnchor>
  <xdr:twoCellAnchor>
    <xdr:from>
      <xdr:col>6</xdr:col>
      <xdr:colOff>847596</xdr:colOff>
      <xdr:row>13</xdr:row>
      <xdr:rowOff>111234</xdr:rowOff>
    </xdr:from>
    <xdr:to>
      <xdr:col>7</xdr:col>
      <xdr:colOff>265709</xdr:colOff>
      <xdr:row>14</xdr:row>
      <xdr:rowOff>132474</xdr:rowOff>
    </xdr:to>
    <xdr:sp macro="" textlink="'Variable Mgmt'!D213">
      <xdr:nvSpPr>
        <xdr:cNvPr id="132" name="Text Box 267">
          <a:extLst>
            <a:ext uri="{FF2B5EF4-FFF2-40B4-BE49-F238E27FC236}">
              <a16:creationId xmlns:a16="http://schemas.microsoft.com/office/drawing/2014/main" id="{00000000-0008-0000-0100-000084000000}"/>
            </a:ext>
          </a:extLst>
        </xdr:cNvPr>
        <xdr:cNvSpPr txBox="1">
          <a:spLocks noChangeArrowheads="1" noTextEdit="1"/>
        </xdr:cNvSpPr>
      </xdr:nvSpPr>
      <xdr:spPr bwMode="auto">
        <a:xfrm>
          <a:off x="6543546" y="2216259"/>
          <a:ext cx="494438" cy="183165"/>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1100" b="0" i="0" u="none" strike="noStrike" baseline="0">
              <a:solidFill>
                <a:srgbClr val="000000"/>
              </a:solidFill>
              <a:latin typeface="Arial"/>
              <a:cs typeface="Arial"/>
            </a:rPr>
            <a:pPr algn="l" rtl="0">
              <a:defRPr sz="1000"/>
            </a:pPr>
            <a:t>44µF</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6</xdr:col>
      <xdr:colOff>847596</xdr:colOff>
      <xdr:row>16</xdr:row>
      <xdr:rowOff>35034</xdr:rowOff>
    </xdr:from>
    <xdr:to>
      <xdr:col>7</xdr:col>
      <xdr:colOff>265709</xdr:colOff>
      <xdr:row>17</xdr:row>
      <xdr:rowOff>56274</xdr:rowOff>
    </xdr:to>
    <xdr:sp macro="" textlink="'Variable Mgmt'!C213">
      <xdr:nvSpPr>
        <xdr:cNvPr id="133" name="Text Box 267">
          <a:extLst>
            <a:ext uri="{FF2B5EF4-FFF2-40B4-BE49-F238E27FC236}">
              <a16:creationId xmlns:a16="http://schemas.microsoft.com/office/drawing/2014/main" id="{00000000-0008-0000-0100-000085000000}"/>
            </a:ext>
          </a:extLst>
        </xdr:cNvPr>
        <xdr:cNvSpPr txBox="1">
          <a:spLocks noChangeArrowheads="1" noTextEdit="1"/>
        </xdr:cNvSpPr>
      </xdr:nvSpPr>
      <xdr:spPr bwMode="auto">
        <a:xfrm>
          <a:off x="6543546" y="2625834"/>
          <a:ext cx="494438" cy="183165"/>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1100" b="0" i="0" u="none" strike="noStrike" baseline="0">
              <a:solidFill>
                <a:srgbClr val="000000"/>
              </a:solidFill>
              <a:latin typeface="Arial"/>
              <a:cs typeface="Arial"/>
            </a:rPr>
            <a:pPr algn="l" rtl="0">
              <a:defRPr sz="1000"/>
            </a:pPr>
            <a:t> </a:t>
          </a:fld>
          <a:endParaRPr lang="en-US" sz="1400" b="0" i="0" u="none" strike="noStrike" baseline="0">
            <a:solidFill>
              <a:srgbClr val="000000"/>
            </a:solidFill>
            <a:latin typeface="Arial" pitchFamily="34" charset="0"/>
            <a:cs typeface="Arial" pitchFamily="34" charset="0"/>
          </a:endParaRPr>
        </a:p>
      </xdr:txBody>
    </xdr:sp>
    <xdr:clientData/>
  </xdr:twoCellAnchor>
  <xdr:twoCellAnchor>
    <xdr:from>
      <xdr:col>5</xdr:col>
      <xdr:colOff>262430</xdr:colOff>
      <xdr:row>2</xdr:row>
      <xdr:rowOff>13969</xdr:rowOff>
    </xdr:from>
    <xdr:to>
      <xdr:col>5</xdr:col>
      <xdr:colOff>585270</xdr:colOff>
      <xdr:row>3</xdr:row>
      <xdr:rowOff>86083</xdr:rowOff>
    </xdr:to>
    <xdr:sp macro="" textlink="">
      <xdr:nvSpPr>
        <xdr:cNvPr id="134" name="Text Box 244">
          <a:extLst>
            <a:ext uri="{FF2B5EF4-FFF2-40B4-BE49-F238E27FC236}">
              <a16:creationId xmlns:a16="http://schemas.microsoft.com/office/drawing/2014/main" id="{00000000-0008-0000-0100-000086000000}"/>
            </a:ext>
          </a:extLst>
        </xdr:cNvPr>
        <xdr:cNvSpPr txBox="1">
          <a:spLocks noChangeArrowheads="1"/>
        </xdr:cNvSpPr>
      </xdr:nvSpPr>
      <xdr:spPr bwMode="auto">
        <a:xfrm>
          <a:off x="5053505" y="337819"/>
          <a:ext cx="322840" cy="234039"/>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5</xdr:col>
          <xdr:colOff>899160</xdr:colOff>
          <xdr:row>32</xdr:row>
          <xdr:rowOff>7620</xdr:rowOff>
        </xdr:from>
        <xdr:to>
          <xdr:col>6</xdr:col>
          <xdr:colOff>868680</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1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382642</xdr:colOff>
      <xdr:row>7</xdr:row>
      <xdr:rowOff>137794</xdr:rowOff>
    </xdr:from>
    <xdr:to>
      <xdr:col>3</xdr:col>
      <xdr:colOff>705482</xdr:colOff>
      <xdr:row>9</xdr:row>
      <xdr:rowOff>47983</xdr:rowOff>
    </xdr:to>
    <xdr:sp macro="" textlink="">
      <xdr:nvSpPr>
        <xdr:cNvPr id="47" name="Text Box 244">
          <a:extLst>
            <a:ext uri="{FF2B5EF4-FFF2-40B4-BE49-F238E27FC236}">
              <a16:creationId xmlns:a16="http://schemas.microsoft.com/office/drawing/2014/main" id="{00000000-0008-0000-0100-00002F000000}"/>
            </a:ext>
          </a:extLst>
        </xdr:cNvPr>
        <xdr:cNvSpPr txBox="1">
          <a:spLocks noChangeArrowheads="1"/>
        </xdr:cNvSpPr>
      </xdr:nvSpPr>
      <xdr:spPr bwMode="auto">
        <a:xfrm>
          <a:off x="2678167" y="1271269"/>
          <a:ext cx="322840" cy="234039"/>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38</xdr:row>
          <xdr:rowOff>7620</xdr:rowOff>
        </xdr:from>
        <xdr:to>
          <xdr:col>6</xdr:col>
          <xdr:colOff>876300</xdr:colOff>
          <xdr:row>39</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1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542925</xdr:colOff>
      <xdr:row>7</xdr:row>
      <xdr:rowOff>38100</xdr:rowOff>
    </xdr:from>
    <xdr:to>
      <xdr:col>10</xdr:col>
      <xdr:colOff>419100</xdr:colOff>
      <xdr:row>62</xdr:row>
      <xdr:rowOff>107170</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1704975"/>
          <a:ext cx="5972175" cy="8974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533400</xdr:colOff>
      <xdr:row>7</xdr:row>
      <xdr:rowOff>38100</xdr:rowOff>
    </xdr:from>
    <xdr:to>
      <xdr:col>21</xdr:col>
      <xdr:colOff>552450</xdr:colOff>
      <xdr:row>62</xdr:row>
      <xdr:rowOff>145539</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0" y="1704975"/>
          <a:ext cx="6124575" cy="9013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449580</xdr:colOff>
          <xdr:row>6</xdr:row>
          <xdr:rowOff>22860</xdr:rowOff>
        </xdr:from>
        <xdr:to>
          <xdr:col>10</xdr:col>
          <xdr:colOff>670560</xdr:colOff>
          <xdr:row>7</xdr:row>
          <xdr:rowOff>99060</xdr:rowOff>
        </xdr:to>
        <xdr:sp macro="" textlink="">
          <xdr:nvSpPr>
            <xdr:cNvPr id="721921" name="Drop Down 1" hidden="1">
              <a:extLst>
                <a:ext uri="{63B3BB69-23CF-44E3-9099-C40C66FF867C}">
                  <a14:compatExt spid="_x0000_s721921"/>
                </a:ext>
                <a:ext uri="{FF2B5EF4-FFF2-40B4-BE49-F238E27FC236}">
                  <a16:creationId xmlns:a16="http://schemas.microsoft.com/office/drawing/2014/main" id="{00000000-0008-0000-03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200025</xdr:colOff>
      <xdr:row>40</xdr:row>
      <xdr:rowOff>114300</xdr:rowOff>
    </xdr:from>
    <xdr:to>
      <xdr:col>46</xdr:col>
      <xdr:colOff>333375</xdr:colOff>
      <xdr:row>71</xdr:row>
      <xdr:rowOff>116032</xdr:rowOff>
    </xdr:to>
    <xdr:graphicFrame macro="">
      <xdr:nvGraphicFramePr>
        <xdr:cNvPr id="6" name="Chart 253">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23</xdr:col>
      <xdr:colOff>0</xdr:colOff>
      <xdr:row>101</xdr:row>
      <xdr:rowOff>123825</xdr:rowOff>
    </xdr:to>
    <xdr:graphicFrame macro="">
      <xdr:nvGraphicFramePr>
        <xdr:cNvPr id="9" name="Chart 253">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329046</xdr:colOff>
      <xdr:row>72</xdr:row>
      <xdr:rowOff>138546</xdr:rowOff>
    </xdr:from>
    <xdr:to>
      <xdr:col>27</xdr:col>
      <xdr:colOff>33771</xdr:colOff>
      <xdr:row>103</xdr:row>
      <xdr:rowOff>140278</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182880</xdr:colOff>
          <xdr:row>111</xdr:row>
          <xdr:rowOff>144780</xdr:rowOff>
        </xdr:from>
        <xdr:to>
          <xdr:col>36</xdr:col>
          <xdr:colOff>7620</xdr:colOff>
          <xdr:row>125</xdr:row>
          <xdr:rowOff>144780</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7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56">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73,6%</a:t>
          </a:fld>
          <a:endParaRPr lang="en-US" sz="1100" b="1" i="0" u="none" strike="noStrike" baseline="0">
            <a:solidFill>
              <a:srgbClr val="000000"/>
            </a:solidFill>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omments" Target="../comments1.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18" Type="http://schemas.openxmlformats.org/officeDocument/2006/relationships/ctrlProp" Target="../ctrlProps/ctrlProp21.xml"/><Relationship Id="rId3" Type="http://schemas.openxmlformats.org/officeDocument/2006/relationships/vmlDrawing" Target="../drawings/vmlDrawing3.v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 Type="http://schemas.openxmlformats.org/officeDocument/2006/relationships/drawing" Target="../drawings/drawing2.xml"/><Relationship Id="rId16" Type="http://schemas.openxmlformats.org/officeDocument/2006/relationships/ctrlProp" Target="../ctrlProps/ctrlProp19.xml"/><Relationship Id="rId1" Type="http://schemas.openxmlformats.org/officeDocument/2006/relationships/printerSettings" Target="../printerSettings/printerSettings2.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openxmlformats.org/officeDocument/2006/relationships/comments" Target="../comments2.xml"/><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53"/>
  <sheetViews>
    <sheetView tabSelected="1" topLeftCell="A22" zoomScale="85" zoomScaleNormal="85" zoomScaleSheetLayoutView="70" workbookViewId="0">
      <selection activeCell="L22" sqref="L22"/>
    </sheetView>
  </sheetViews>
  <sheetFormatPr defaultColWidth="9.109375" defaultRowHeight="13.8" x14ac:dyDescent="0.3"/>
  <cols>
    <col min="1" max="1" width="8.33203125" style="108" customWidth="1"/>
    <col min="2" max="2" width="8.33203125" style="47" customWidth="1"/>
    <col min="3" max="3" width="13.5546875" style="47" customWidth="1"/>
    <col min="4" max="4" width="9.88671875" style="47" customWidth="1"/>
    <col min="5" max="5" width="9.109375" style="47" customWidth="1"/>
    <col min="6" max="6" width="8.6640625" style="47" customWidth="1"/>
    <col min="7" max="7" width="2.6640625" style="47" customWidth="1"/>
    <col min="8" max="9" width="8.33203125" style="47" customWidth="1"/>
    <col min="10" max="10" width="13.6640625" style="47" customWidth="1"/>
    <col min="11" max="11" width="10" style="47" customWidth="1"/>
    <col min="12" max="12" width="9.44140625" style="47" customWidth="1"/>
    <col min="13" max="13" width="8.6640625" style="47" customWidth="1"/>
    <col min="14" max="15" width="9.109375" style="47"/>
    <col min="16" max="18" width="10.109375" style="47" customWidth="1"/>
    <col min="19" max="19" width="10" style="47" bestFit="1" customWidth="1"/>
    <col min="20" max="25" width="9.109375" style="47"/>
    <col min="26" max="26" width="29" style="47" customWidth="1"/>
    <col min="27" max="27" width="3.109375" style="47" customWidth="1"/>
    <col min="28" max="16384" width="9.109375" style="47"/>
  </cols>
  <sheetData>
    <row r="1" spans="1:27" ht="47.25" customHeight="1" x14ac:dyDescent="0.3">
      <c r="A1" s="534" t="s">
        <v>379</v>
      </c>
      <c r="B1" s="532"/>
      <c r="C1" s="532"/>
      <c r="D1" s="532"/>
      <c r="E1" s="532"/>
      <c r="F1" s="532"/>
      <c r="G1" s="532"/>
      <c r="H1" s="532"/>
      <c r="I1" s="532"/>
      <c r="J1" s="532"/>
      <c r="K1" s="532"/>
      <c r="L1" s="532"/>
      <c r="M1" s="532"/>
      <c r="N1" s="532"/>
      <c r="O1" s="532"/>
      <c r="P1" s="532"/>
      <c r="Q1" s="532"/>
      <c r="R1" s="533"/>
      <c r="S1" s="533"/>
      <c r="T1" s="533"/>
      <c r="U1" s="533"/>
      <c r="V1" s="425"/>
      <c r="W1" s="425"/>
      <c r="X1" s="425"/>
      <c r="Y1" s="425"/>
      <c r="Z1" s="425"/>
      <c r="AA1" s="425"/>
    </row>
    <row r="2" spans="1:27" ht="14.1" customHeight="1" x14ac:dyDescent="0.55000000000000004">
      <c r="A2" s="406"/>
      <c r="B2" s="407"/>
      <c r="C2" s="407"/>
      <c r="D2" s="407"/>
      <c r="E2" s="407"/>
      <c r="F2" s="407"/>
      <c r="G2" s="407"/>
      <c r="H2" s="407"/>
      <c r="I2" s="407"/>
      <c r="J2" s="407"/>
      <c r="K2" s="407"/>
      <c r="L2" s="407"/>
      <c r="M2" s="407"/>
      <c r="N2" s="407"/>
      <c r="O2" s="420"/>
      <c r="P2" s="407"/>
      <c r="Q2" s="407"/>
      <c r="R2" s="415"/>
      <c r="S2" s="513"/>
      <c r="T2" s="513"/>
      <c r="U2" s="513"/>
      <c r="V2" s="513"/>
      <c r="W2" s="513"/>
      <c r="X2" s="513"/>
      <c r="Y2" s="513"/>
      <c r="Z2" s="513"/>
      <c r="AA2" s="513"/>
    </row>
    <row r="3" spans="1:27" ht="15.9" customHeight="1" x14ac:dyDescent="0.55000000000000004">
      <c r="A3" s="408" t="s">
        <v>105</v>
      </c>
      <c r="B3" s="409"/>
      <c r="C3" s="421" t="s">
        <v>106</v>
      </c>
      <c r="D3" s="410"/>
      <c r="E3" s="84"/>
      <c r="F3" s="412" t="s">
        <v>59</v>
      </c>
      <c r="G3" s="411"/>
      <c r="H3" s="407"/>
      <c r="I3" s="407"/>
      <c r="J3" s="411"/>
      <c r="K3" s="413"/>
      <c r="L3" s="414"/>
      <c r="M3" s="415"/>
      <c r="N3" s="415"/>
      <c r="O3" s="513"/>
      <c r="P3" s="1"/>
      <c r="Q3" s="415" t="s">
        <v>77</v>
      </c>
      <c r="R3" s="415"/>
      <c r="S3" s="513"/>
      <c r="T3" s="513"/>
      <c r="U3" s="535" t="s">
        <v>319</v>
      </c>
      <c r="V3" s="513"/>
      <c r="W3" s="513"/>
      <c r="X3" s="513"/>
      <c r="Y3" s="513"/>
      <c r="Z3" s="513"/>
      <c r="AA3" s="513"/>
    </row>
    <row r="4" spans="1:27" ht="14.1" customHeight="1" thickBot="1" x14ac:dyDescent="0.4">
      <c r="A4" s="416"/>
      <c r="B4" s="417"/>
      <c r="C4" s="418"/>
      <c r="D4" s="418"/>
      <c r="E4" s="418"/>
      <c r="F4" s="418"/>
      <c r="G4" s="418"/>
      <c r="H4" s="418"/>
      <c r="I4" s="418"/>
      <c r="J4" s="418"/>
      <c r="K4" s="418"/>
      <c r="L4" s="418"/>
      <c r="M4" s="419"/>
      <c r="N4" s="419"/>
      <c r="O4" s="419"/>
      <c r="P4" s="419"/>
      <c r="Q4" s="419"/>
      <c r="R4" s="415"/>
      <c r="S4" s="513"/>
      <c r="T4" s="513"/>
      <c r="U4" s="513"/>
      <c r="V4" s="513"/>
      <c r="W4" s="513"/>
      <c r="X4" s="513"/>
      <c r="Y4" s="513"/>
      <c r="Z4" s="513"/>
      <c r="AA4" s="513"/>
    </row>
    <row r="5" spans="1:27" ht="19.5" customHeight="1" thickBot="1" x14ac:dyDescent="0.4">
      <c r="A5" s="107" t="s">
        <v>101</v>
      </c>
      <c r="B5" s="82"/>
      <c r="C5" s="48"/>
      <c r="D5" s="48"/>
      <c r="E5" s="49"/>
      <c r="F5" s="48"/>
      <c r="G5" s="73"/>
      <c r="H5" s="605" t="s">
        <v>366</v>
      </c>
      <c r="I5" s="93"/>
      <c r="J5" s="94"/>
      <c r="K5" s="94"/>
      <c r="L5" s="95"/>
      <c r="M5" s="363"/>
      <c r="N5" s="50"/>
      <c r="O5" s="50"/>
      <c r="P5" s="50"/>
      <c r="Q5" s="50"/>
      <c r="R5" s="514"/>
      <c r="S5" s="514"/>
      <c r="T5" s="514"/>
      <c r="U5" s="514"/>
      <c r="V5" s="514"/>
      <c r="W5" s="514"/>
      <c r="X5" s="514"/>
      <c r="Y5" s="514"/>
      <c r="Z5" s="518"/>
      <c r="AA5" s="513"/>
    </row>
    <row r="6" spans="1:27" ht="15.75" customHeight="1" x14ac:dyDescent="0.3">
      <c r="A6" s="142"/>
      <c r="B6" s="143"/>
      <c r="C6" s="144"/>
      <c r="D6" s="145" t="s">
        <v>375</v>
      </c>
      <c r="E6" s="146">
        <v>10</v>
      </c>
      <c r="F6" s="435" t="s">
        <v>0</v>
      </c>
      <c r="G6" s="91"/>
      <c r="H6" s="466"/>
      <c r="I6" s="522"/>
      <c r="J6" s="213"/>
      <c r="K6" s="523" t="s">
        <v>691</v>
      </c>
      <c r="L6" s="653">
        <f>Lmin</f>
        <v>22.586206896551722</v>
      </c>
      <c r="M6" s="656" t="s">
        <v>96</v>
      </c>
      <c r="N6" s="50"/>
      <c r="O6" s="50"/>
      <c r="P6" s="50"/>
      <c r="Q6" s="50"/>
      <c r="R6" s="83"/>
      <c r="S6" s="83"/>
      <c r="T6" s="76"/>
      <c r="U6" s="76"/>
      <c r="V6" s="76"/>
      <c r="W6" s="76"/>
      <c r="X6" s="76"/>
      <c r="Y6" s="76"/>
      <c r="Z6" s="519"/>
      <c r="AA6" s="513"/>
    </row>
    <row r="7" spans="1:27" ht="14.25" customHeight="1" x14ac:dyDescent="0.35">
      <c r="A7" s="136"/>
      <c r="B7" s="135"/>
      <c r="C7" s="137"/>
      <c r="D7" s="147" t="s">
        <v>376</v>
      </c>
      <c r="E7" s="148">
        <v>24</v>
      </c>
      <c r="F7" s="436" t="s">
        <v>0</v>
      </c>
      <c r="G7" s="91"/>
      <c r="H7" s="89"/>
      <c r="I7" s="90"/>
      <c r="J7" s="88"/>
      <c r="K7" s="101" t="s">
        <v>373</v>
      </c>
      <c r="L7" s="148">
        <v>55</v>
      </c>
      <c r="M7" s="436" t="s">
        <v>96</v>
      </c>
      <c r="N7" s="50"/>
      <c r="O7" s="50"/>
      <c r="P7" s="50"/>
      <c r="Q7" s="50"/>
      <c r="R7" s="83"/>
      <c r="S7" s="83"/>
      <c r="T7" s="76"/>
      <c r="U7" s="76"/>
      <c r="V7" s="76"/>
      <c r="W7" s="76"/>
      <c r="X7" s="76"/>
      <c r="Y7" s="76"/>
      <c r="Z7" s="519"/>
      <c r="AA7" s="513"/>
    </row>
    <row r="8" spans="1:27" ht="15.75" customHeight="1" x14ac:dyDescent="0.3">
      <c r="A8" s="136"/>
      <c r="B8" s="135"/>
      <c r="C8" s="137"/>
      <c r="D8" s="147" t="s">
        <v>377</v>
      </c>
      <c r="E8" s="148">
        <v>50</v>
      </c>
      <c r="F8" s="436" t="s">
        <v>0</v>
      </c>
      <c r="G8" s="91"/>
      <c r="H8" s="89"/>
      <c r="I8" s="90"/>
      <c r="J8" s="88"/>
      <c r="K8" s="101" t="s">
        <v>548</v>
      </c>
      <c r="L8" s="148">
        <v>110</v>
      </c>
      <c r="M8" s="436" t="s">
        <v>20</v>
      </c>
      <c r="N8" s="50"/>
      <c r="O8" s="50"/>
      <c r="P8" s="50"/>
      <c r="Q8" s="50"/>
      <c r="R8" s="83"/>
      <c r="S8" s="83"/>
      <c r="T8" s="76"/>
      <c r="U8" s="76"/>
      <c r="V8" s="76"/>
      <c r="W8" s="76"/>
      <c r="X8" s="76"/>
      <c r="Y8" s="76"/>
      <c r="Z8" s="519"/>
      <c r="AA8" s="513"/>
    </row>
    <row r="9" spans="1:27" ht="15.75" customHeight="1" x14ac:dyDescent="0.3">
      <c r="A9" s="136"/>
      <c r="B9" s="135"/>
      <c r="C9" s="137"/>
      <c r="D9" s="147" t="s">
        <v>374</v>
      </c>
      <c r="E9" s="603">
        <v>32</v>
      </c>
      <c r="F9" s="149"/>
      <c r="G9" s="91"/>
      <c r="H9" s="89"/>
      <c r="I9" s="90"/>
      <c r="J9" s="88"/>
      <c r="K9" s="101" t="str">
        <f>CHOOSE(MODE, "Secondary Winding DCR", "Secondary Winding #1 DCR")</f>
        <v>Secondary Winding #1 DCR</v>
      </c>
      <c r="L9" s="148">
        <v>35</v>
      </c>
      <c r="M9" s="436" t="s">
        <v>20</v>
      </c>
      <c r="N9" s="50"/>
      <c r="O9" s="50"/>
      <c r="P9" s="50"/>
      <c r="Q9" s="50"/>
      <c r="R9" s="83"/>
      <c r="S9" s="83"/>
      <c r="T9" s="76"/>
      <c r="U9" s="76"/>
      <c r="V9" s="76"/>
      <c r="W9" s="76"/>
      <c r="X9" s="76"/>
      <c r="Y9" s="76"/>
      <c r="Z9" s="519"/>
      <c r="AA9" s="513"/>
    </row>
    <row r="10" spans="1:27" ht="15.75" customHeight="1" x14ac:dyDescent="0.3">
      <c r="A10" s="136"/>
      <c r="B10" s="135"/>
      <c r="C10" s="137"/>
      <c r="D10" s="147" t="str">
        <f>CHOOSE(MODE, "Output Voltage, VOUT ", "Output Voltage, VOUT1")</f>
        <v>Output Voltage, VOUT1</v>
      </c>
      <c r="E10" s="148">
        <v>6.3</v>
      </c>
      <c r="F10" s="436" t="s">
        <v>0</v>
      </c>
      <c r="G10" s="91"/>
      <c r="H10" s="89"/>
      <c r="I10" s="90"/>
      <c r="J10" s="88"/>
      <c r="K10" s="101" t="str">
        <f>CHOOSE(MODE, "", "Secondary Winding #2 DCR")</f>
        <v>Secondary Winding #2 DCR</v>
      </c>
      <c r="L10" s="148">
        <v>30</v>
      </c>
      <c r="M10" s="436" t="str">
        <f>CHOOSE(MODE, "", "mΩ")</f>
        <v>mΩ</v>
      </c>
      <c r="N10" s="50"/>
      <c r="O10" s="50"/>
      <c r="P10" s="50"/>
      <c r="Q10" s="50"/>
      <c r="R10" s="83"/>
      <c r="S10" s="83"/>
      <c r="T10" s="76"/>
      <c r="U10" s="76"/>
      <c r="V10" s="76"/>
      <c r="W10" s="76"/>
      <c r="X10" s="76"/>
      <c r="Y10" s="76"/>
      <c r="Z10" s="519"/>
      <c r="AA10" s="513"/>
    </row>
    <row r="11" spans="1:27" ht="15.75" customHeight="1" thickBot="1" x14ac:dyDescent="0.35">
      <c r="A11" s="139"/>
      <c r="B11" s="156"/>
      <c r="C11" s="520"/>
      <c r="D11" s="526" t="str">
        <f>CHOOSE(MODE, "Rated Output Current, IOUT ", "Rated Output Current, IOUT1")</f>
        <v>Rated Output Current, IOUT1</v>
      </c>
      <c r="E11" s="527">
        <v>0.1</v>
      </c>
      <c r="F11" s="528" t="s">
        <v>1</v>
      </c>
      <c r="G11" s="91"/>
      <c r="H11" s="89"/>
      <c r="I11" s="76"/>
      <c r="J11" s="76"/>
      <c r="K11" s="101" t="s">
        <v>695</v>
      </c>
      <c r="L11" s="148">
        <v>2000</v>
      </c>
      <c r="M11" s="436" t="s">
        <v>694</v>
      </c>
      <c r="N11" s="50"/>
      <c r="O11" s="50"/>
      <c r="P11" s="50"/>
      <c r="Q11" s="50"/>
      <c r="R11" s="83"/>
      <c r="S11" s="83"/>
      <c r="T11" s="76"/>
      <c r="U11" s="76"/>
      <c r="V11" s="76"/>
      <c r="W11" s="76"/>
      <c r="X11" s="76"/>
      <c r="Y11" s="76"/>
      <c r="Z11" s="519"/>
      <c r="AA11" s="513"/>
    </row>
    <row r="12" spans="1:27" ht="15.75" customHeight="1" x14ac:dyDescent="0.3">
      <c r="A12" s="76"/>
      <c r="B12" s="76"/>
      <c r="C12" s="76"/>
      <c r="D12" s="147" t="str">
        <f>CHOOSE(MODE, "", "Output Voltage, VOUT2")</f>
        <v>Output Voltage, VOUT2</v>
      </c>
      <c r="E12" s="148">
        <v>-15</v>
      </c>
      <c r="F12" s="436" t="str">
        <f>CHOOSE(MODE, "", "V", "V")</f>
        <v>V</v>
      </c>
      <c r="G12" s="91"/>
      <c r="H12" s="89"/>
      <c r="I12" s="90"/>
      <c r="J12" s="88"/>
      <c r="K12" s="87" t="str">
        <f>IF(MODE=1, "Transformer Turns Ratio, Pri : Sec", "Turns Ratio, PRI : SEC1")</f>
        <v>Turns Ratio, PRI : SEC1</v>
      </c>
      <c r="L12" s="444"/>
      <c r="M12" s="465"/>
      <c r="N12" s="50"/>
      <c r="O12" s="50"/>
      <c r="P12" s="50"/>
      <c r="Q12" s="50"/>
      <c r="R12" s="83"/>
      <c r="S12" s="83"/>
      <c r="T12" s="76"/>
      <c r="U12" s="76"/>
      <c r="V12" s="76"/>
      <c r="W12" s="76"/>
      <c r="X12" s="76"/>
      <c r="Y12" s="76"/>
      <c r="Z12" s="519"/>
      <c r="AA12" s="513"/>
    </row>
    <row r="13" spans="1:27" ht="15.75" customHeight="1" thickBot="1" x14ac:dyDescent="0.35">
      <c r="A13" s="139"/>
      <c r="B13" s="156"/>
      <c r="C13" s="520"/>
      <c r="D13" s="526" t="str">
        <f>CHOOSE(MODE, "", "Rated Output Current, IOUT2")</f>
        <v>Rated Output Current, IOUT2</v>
      </c>
      <c r="E13" s="527">
        <v>0.1</v>
      </c>
      <c r="F13" s="528" t="str">
        <f>CHOOSE(MODE, "", "A", "A")</f>
        <v>A</v>
      </c>
      <c r="G13" s="91"/>
      <c r="H13" s="136"/>
      <c r="I13" s="135"/>
      <c r="J13" s="137"/>
      <c r="K13" s="88" t="str">
        <f>CHOOSE(MODE, "Diode Max Rev Voltage (Spike Not Included)", "Turns Ratio, SEC1 : SEC2")</f>
        <v>Turns Ratio, SEC1 : SEC2</v>
      </c>
      <c r="L13" s="654">
        <f>CHOOSE(MODE, ROUND(VRRM_DIODE,0), ROUND(Nsec1sec2,2))</f>
        <v>2.33</v>
      </c>
      <c r="M13" s="465" t="str">
        <f>CHOOSE(MODE, "V", "")</f>
        <v/>
      </c>
      <c r="N13" s="50"/>
      <c r="O13" s="50"/>
      <c r="P13" s="50"/>
      <c r="Q13" s="50"/>
      <c r="R13" s="83"/>
      <c r="S13" s="83"/>
      <c r="T13" s="76"/>
      <c r="U13" s="76"/>
      <c r="V13" s="76"/>
      <c r="W13" s="76"/>
      <c r="X13" s="76"/>
      <c r="Y13" s="76"/>
      <c r="Z13" s="519"/>
      <c r="AA13" s="513"/>
    </row>
    <row r="14" spans="1:27" ht="15.75" customHeight="1" x14ac:dyDescent="0.3">
      <c r="A14" s="433"/>
      <c r="B14" s="76"/>
      <c r="C14" s="76"/>
      <c r="D14" s="76"/>
      <c r="E14" s="76"/>
      <c r="F14" s="529"/>
      <c r="G14" s="92"/>
      <c r="H14" s="136"/>
      <c r="I14" s="135"/>
      <c r="J14" s="623"/>
      <c r="K14" s="137" t="s">
        <v>689</v>
      </c>
      <c r="L14" s="658">
        <f>Don_Vinmin*100</f>
        <v>57.081545064377679</v>
      </c>
      <c r="M14" s="659" t="s">
        <v>690</v>
      </c>
      <c r="N14" s="50"/>
      <c r="O14" s="50"/>
      <c r="P14" s="50"/>
      <c r="Q14" s="50"/>
      <c r="R14" s="83"/>
      <c r="S14" s="83"/>
      <c r="T14" s="76"/>
      <c r="U14" s="76"/>
      <c r="V14" s="76"/>
      <c r="W14" s="76"/>
      <c r="X14" s="76"/>
      <c r="Y14" s="76"/>
      <c r="Z14" s="519"/>
      <c r="AA14" s="513"/>
    </row>
    <row r="15" spans="1:27" ht="19.5" customHeight="1" thickBot="1" x14ac:dyDescent="0.35">
      <c r="A15" s="107" t="s">
        <v>299</v>
      </c>
      <c r="B15" s="93"/>
      <c r="C15" s="94"/>
      <c r="D15" s="94"/>
      <c r="E15" s="95"/>
      <c r="F15" s="94"/>
      <c r="G15" s="91"/>
      <c r="H15" s="624"/>
      <c r="I15" s="517"/>
      <c r="J15" s="517"/>
      <c r="K15" s="520" t="s">
        <v>630</v>
      </c>
      <c r="L15" s="661">
        <f>'Variable Mgmt'!B38</f>
        <v>3.7003246753246755</v>
      </c>
      <c r="M15" s="660" t="s">
        <v>45</v>
      </c>
      <c r="N15" s="50"/>
      <c r="O15" s="50"/>
      <c r="P15" s="50"/>
      <c r="Q15" s="50"/>
      <c r="R15" s="83"/>
      <c r="S15" s="83"/>
      <c r="T15" s="76"/>
      <c r="U15" s="76"/>
      <c r="V15" s="76"/>
      <c r="W15" s="76"/>
      <c r="X15" s="76"/>
      <c r="Y15" s="76"/>
      <c r="Z15" s="519"/>
      <c r="AA15" s="513"/>
    </row>
    <row r="16" spans="1:27" ht="15.75" customHeight="1" x14ac:dyDescent="0.3">
      <c r="A16" s="393"/>
      <c r="B16" s="596"/>
      <c r="C16" s="597"/>
      <c r="D16" s="213" t="s">
        <v>318</v>
      </c>
      <c r="E16" s="633">
        <f>'Variable Mgmt'!B119</f>
        <v>2.2000000000000002</v>
      </c>
      <c r="F16" s="437" t="s">
        <v>97</v>
      </c>
      <c r="G16" s="91"/>
      <c r="H16" s="90"/>
      <c r="I16" s="50"/>
      <c r="J16" s="50"/>
      <c r="K16" s="88"/>
      <c r="L16" s="50"/>
      <c r="M16" s="90"/>
      <c r="N16" s="50"/>
      <c r="O16" s="50"/>
      <c r="P16" s="50"/>
      <c r="Q16" s="50"/>
      <c r="R16" s="83"/>
      <c r="S16" s="83"/>
      <c r="T16" s="76"/>
      <c r="U16" s="76"/>
      <c r="V16" s="76"/>
      <c r="W16" s="76"/>
      <c r="X16" s="76"/>
      <c r="Y16" s="76"/>
      <c r="Z16" s="519"/>
      <c r="AA16" s="513"/>
    </row>
    <row r="17" spans="1:27" ht="15.75" customHeight="1" x14ac:dyDescent="0.35">
      <c r="A17" s="98"/>
      <c r="B17" s="90"/>
      <c r="C17" s="97"/>
      <c r="D17" s="101" t="s">
        <v>141</v>
      </c>
      <c r="E17" s="99">
        <v>2.2000000000000002</v>
      </c>
      <c r="F17" s="438" t="s">
        <v>97</v>
      </c>
      <c r="G17" s="91"/>
      <c r="H17" s="90"/>
      <c r="I17" s="50"/>
      <c r="J17" s="50"/>
      <c r="K17" s="50"/>
      <c r="L17" s="50"/>
      <c r="M17" s="50"/>
      <c r="N17" s="50"/>
      <c r="O17" s="50"/>
      <c r="P17" s="50"/>
      <c r="Q17" s="50"/>
      <c r="R17" s="83"/>
      <c r="S17" s="83"/>
      <c r="T17" s="76"/>
      <c r="U17" s="76"/>
      <c r="V17" s="76"/>
      <c r="W17" s="76"/>
      <c r="X17" s="76"/>
      <c r="Y17" s="76"/>
      <c r="Z17" s="519"/>
      <c r="AA17" s="513"/>
    </row>
    <row r="18" spans="1:27" ht="15.75" customHeight="1" x14ac:dyDescent="0.3">
      <c r="A18" s="98"/>
      <c r="B18" s="90"/>
      <c r="C18" s="153"/>
      <c r="D18" s="147" t="s">
        <v>104</v>
      </c>
      <c r="E18" s="152">
        <v>5</v>
      </c>
      <c r="F18" s="439" t="s">
        <v>20</v>
      </c>
      <c r="G18" s="91"/>
      <c r="H18" s="90"/>
      <c r="I18" s="50"/>
      <c r="J18" s="50"/>
      <c r="K18" s="50"/>
      <c r="L18" s="50"/>
      <c r="M18" s="50"/>
      <c r="N18" s="50"/>
      <c r="O18" s="50"/>
      <c r="P18" s="50"/>
      <c r="Q18" s="50"/>
      <c r="R18" s="83"/>
      <c r="S18" s="83"/>
      <c r="T18" s="76"/>
      <c r="U18" s="76"/>
      <c r="V18" s="76"/>
      <c r="W18" s="76"/>
      <c r="X18" s="76"/>
      <c r="Y18" s="76"/>
      <c r="Z18" s="519"/>
      <c r="AA18" s="513"/>
    </row>
    <row r="19" spans="1:27" ht="15.75" customHeight="1" thickBot="1" x14ac:dyDescent="0.4">
      <c r="A19" s="102"/>
      <c r="B19" s="103"/>
      <c r="C19" s="109"/>
      <c r="D19" s="215" t="s">
        <v>512</v>
      </c>
      <c r="E19" s="216">
        <f>Vinripple2*1000</f>
        <v>33.882243761155244</v>
      </c>
      <c r="F19" s="106" t="s">
        <v>103</v>
      </c>
      <c r="G19" s="91"/>
      <c r="H19" s="90"/>
      <c r="I19" s="50"/>
      <c r="J19" s="50"/>
      <c r="K19" s="50"/>
      <c r="L19" s="50"/>
      <c r="M19" s="50"/>
      <c r="N19" s="50"/>
      <c r="O19" s="50"/>
      <c r="P19" s="50"/>
      <c r="Q19" s="50"/>
      <c r="R19" s="83"/>
      <c r="S19" s="83"/>
      <c r="T19" s="76"/>
      <c r="U19" s="76"/>
      <c r="V19" s="76"/>
      <c r="W19" s="76"/>
      <c r="X19" s="76"/>
      <c r="Y19" s="76"/>
      <c r="Z19" s="519"/>
      <c r="AA19" s="513"/>
    </row>
    <row r="20" spans="1:27" ht="15.75" customHeight="1" thickBot="1" x14ac:dyDescent="0.35">
      <c r="A20" s="430"/>
      <c r="B20" s="431"/>
      <c r="C20" s="432"/>
      <c r="D20" s="432" t="str">
        <f>CHOOSE(MODE, "Minimum Output Capacitance", "Minimum Output Capacitance, Output #1")</f>
        <v>Minimum Output Capacitance, Output #1</v>
      </c>
      <c r="E20" s="652">
        <f>'Variable Mgmt'!B94</f>
        <v>4.7</v>
      </c>
      <c r="F20" s="437" t="s">
        <v>97</v>
      </c>
      <c r="G20" s="607"/>
      <c r="H20" s="597"/>
      <c r="I20" s="606"/>
      <c r="J20" s="514"/>
      <c r="K20" s="432" t="str">
        <f>CHOOSE(MODE, "", "Minimum Output Capacitance, Output #2")</f>
        <v>Minimum Output Capacitance, Output #2</v>
      </c>
      <c r="L20" s="652">
        <f>'Variable Mgmt'!B104</f>
        <v>4.7</v>
      </c>
      <c r="M20" s="437" t="s">
        <v>97</v>
      </c>
      <c r="N20" s="50"/>
      <c r="O20" s="50"/>
      <c r="P20" s="50"/>
      <c r="Q20" s="50"/>
      <c r="R20" s="83"/>
      <c r="S20" s="83"/>
      <c r="T20" s="76"/>
      <c r="U20" s="76"/>
      <c r="V20" s="76"/>
      <c r="W20" s="76"/>
      <c r="X20" s="76"/>
      <c r="Y20" s="76"/>
      <c r="Z20" s="519"/>
      <c r="AA20" s="513"/>
    </row>
    <row r="21" spans="1:27" ht="15.75" customHeight="1" x14ac:dyDescent="0.3">
      <c r="A21" s="89"/>
      <c r="B21" s="90"/>
      <c r="C21" s="137"/>
      <c r="D21" s="154" t="s">
        <v>140</v>
      </c>
      <c r="E21" s="148">
        <v>88</v>
      </c>
      <c r="F21" s="436" t="s">
        <v>97</v>
      </c>
      <c r="G21" s="608"/>
      <c r="H21" s="90"/>
      <c r="I21" s="50"/>
      <c r="J21" s="76"/>
      <c r="K21" s="154" t="s">
        <v>556</v>
      </c>
      <c r="L21" s="148">
        <v>44</v>
      </c>
      <c r="M21" s="436" t="s">
        <v>97</v>
      </c>
      <c r="N21" s="50"/>
      <c r="O21" s="50"/>
      <c r="P21" s="50"/>
      <c r="Q21" s="50"/>
      <c r="R21" s="83"/>
      <c r="S21" s="83"/>
      <c r="T21" s="76"/>
      <c r="U21" s="76"/>
      <c r="V21" s="76"/>
      <c r="W21" s="76"/>
      <c r="X21" s="76"/>
      <c r="Y21" s="76"/>
      <c r="Z21" s="519"/>
      <c r="AA21" s="513"/>
    </row>
    <row r="22" spans="1:27" ht="16.5" customHeight="1" thickBot="1" x14ac:dyDescent="0.35">
      <c r="A22" s="89"/>
      <c r="B22" s="90"/>
      <c r="C22" s="153"/>
      <c r="D22" s="147" t="s">
        <v>557</v>
      </c>
      <c r="E22" s="152">
        <v>3</v>
      </c>
      <c r="F22" s="439" t="s">
        <v>20</v>
      </c>
      <c r="G22" s="609"/>
      <c r="H22" s="90"/>
      <c r="I22" s="50"/>
      <c r="J22" s="76"/>
      <c r="K22" s="147" t="s">
        <v>557</v>
      </c>
      <c r="L22" s="152">
        <v>3</v>
      </c>
      <c r="M22" s="439" t="s">
        <v>20</v>
      </c>
      <c r="N22" s="50"/>
      <c r="O22" s="50"/>
      <c r="P22" s="50"/>
      <c r="Q22" s="50"/>
      <c r="R22" s="83"/>
      <c r="S22" s="83"/>
      <c r="T22" s="76"/>
      <c r="U22" s="76"/>
      <c r="V22" s="76"/>
      <c r="W22" s="76"/>
      <c r="X22" s="76"/>
      <c r="Y22" s="76"/>
      <c r="Z22" s="519"/>
      <c r="AA22" s="513"/>
    </row>
    <row r="23" spans="1:27" ht="15.75" customHeight="1" thickBot="1" x14ac:dyDescent="0.4">
      <c r="A23" s="102"/>
      <c r="B23" s="105"/>
      <c r="C23" s="105"/>
      <c r="D23" s="215" t="str">
        <f>CHOOSE(MODE, "Resulting Output Voltage Ripple", "Resulting Output Voltage Ripple, Output #1")</f>
        <v>Resulting Output Voltage Ripple, Output #1</v>
      </c>
      <c r="E23" s="216">
        <f>Vripple1_actual</f>
        <v>4.4193609858000595</v>
      </c>
      <c r="F23" s="106" t="s">
        <v>103</v>
      </c>
      <c r="G23" s="607"/>
      <c r="H23" s="105"/>
      <c r="I23" s="517"/>
      <c r="J23" s="516"/>
      <c r="K23" s="215" t="str">
        <f>CHOOSE(MODE, "", "Resulting Output Voltage Ripple, Output #2")</f>
        <v>Resulting Output Voltage Ripple, Output #2</v>
      </c>
      <c r="L23" s="216">
        <f>Vripple2_actual</f>
        <v>8.5387219716001201</v>
      </c>
      <c r="M23" s="106" t="s">
        <v>103</v>
      </c>
      <c r="N23" s="50"/>
      <c r="O23" s="50"/>
      <c r="P23" s="50"/>
      <c r="Q23" s="50"/>
      <c r="R23" s="83"/>
      <c r="S23" s="83"/>
      <c r="T23" s="76"/>
      <c r="U23" s="76"/>
      <c r="V23" s="76"/>
      <c r="W23" s="76"/>
      <c r="X23" s="76"/>
      <c r="Y23" s="76"/>
      <c r="Z23" s="519"/>
      <c r="AA23" s="513"/>
    </row>
    <row r="24" spans="1:27" ht="13.5" customHeight="1" x14ac:dyDescent="0.3">
      <c r="A24" s="433"/>
      <c r="B24" s="76"/>
      <c r="C24" s="76"/>
      <c r="D24" s="76"/>
      <c r="E24" s="76"/>
      <c r="F24" s="76"/>
      <c r="G24" s="76"/>
      <c r="H24" s="76"/>
      <c r="I24" s="76"/>
      <c r="J24" s="76"/>
      <c r="K24" s="76"/>
      <c r="L24" s="76"/>
      <c r="M24" s="76"/>
      <c r="N24" s="50"/>
      <c r="O24" s="50"/>
      <c r="P24" s="50"/>
      <c r="Q24" s="50"/>
      <c r="R24" s="83"/>
      <c r="S24" s="83"/>
      <c r="T24" s="76"/>
      <c r="U24" s="76"/>
      <c r="V24" s="76"/>
      <c r="W24" s="76"/>
      <c r="X24" s="76"/>
      <c r="Y24" s="76"/>
      <c r="Z24" s="519"/>
      <c r="AA24" s="513"/>
    </row>
    <row r="25" spans="1:27" ht="19.5" customHeight="1" thickBot="1" x14ac:dyDescent="0.35">
      <c r="A25" s="107" t="s">
        <v>395</v>
      </c>
      <c r="B25" s="96"/>
      <c r="C25" s="90"/>
      <c r="D25" s="88"/>
      <c r="E25" s="90"/>
      <c r="F25" s="90"/>
      <c r="G25" s="90"/>
      <c r="H25" s="90"/>
      <c r="I25" s="50"/>
      <c r="J25" s="50"/>
      <c r="K25" s="50"/>
      <c r="L25" s="50"/>
      <c r="M25" s="50"/>
      <c r="N25" s="50"/>
      <c r="O25" s="50"/>
      <c r="P25" s="50"/>
      <c r="Q25" s="50"/>
      <c r="R25" s="83"/>
      <c r="S25" s="83"/>
      <c r="T25" s="76"/>
      <c r="U25" s="76"/>
      <c r="V25" s="76"/>
      <c r="W25" s="76"/>
      <c r="X25" s="76"/>
      <c r="Y25" s="76"/>
      <c r="Z25" s="519"/>
      <c r="AA25" s="513"/>
    </row>
    <row r="26" spans="1:27" ht="15.75" customHeight="1" x14ac:dyDescent="0.3">
      <c r="A26" s="142"/>
      <c r="B26" s="143"/>
      <c r="C26" s="213"/>
      <c r="D26" s="213" t="s">
        <v>380</v>
      </c>
      <c r="E26" s="600">
        <f>Rfb_recommend</f>
        <v>131</v>
      </c>
      <c r="F26" s="531" t="s">
        <v>21</v>
      </c>
      <c r="G26" s="90"/>
      <c r="H26" s="90"/>
      <c r="I26" s="50"/>
      <c r="J26" s="50"/>
      <c r="K26" s="50"/>
      <c r="L26" s="50"/>
      <c r="M26" s="50"/>
      <c r="N26" s="50"/>
      <c r="O26" s="50"/>
      <c r="P26" s="50"/>
      <c r="Q26" s="50"/>
      <c r="R26" s="83"/>
      <c r="S26" s="83"/>
      <c r="T26" s="76"/>
      <c r="U26" s="76"/>
      <c r="V26" s="76"/>
      <c r="W26" s="76"/>
      <c r="X26" s="76"/>
      <c r="Y26" s="76"/>
      <c r="Z26" s="519"/>
      <c r="AA26" s="513"/>
    </row>
    <row r="27" spans="1:27" ht="15.75" customHeight="1" thickBot="1" x14ac:dyDescent="0.35">
      <c r="A27" s="136"/>
      <c r="B27" s="135"/>
      <c r="C27" s="137"/>
      <c r="D27" s="154" t="s">
        <v>378</v>
      </c>
      <c r="E27" s="155">
        <v>150</v>
      </c>
      <c r="F27" s="149" t="str">
        <f>IF(Vout=Vref,"","kΩ")</f>
        <v>kΩ</v>
      </c>
      <c r="G27" s="90"/>
      <c r="H27" s="90"/>
      <c r="I27" s="50"/>
      <c r="J27" s="50"/>
      <c r="K27" s="50"/>
      <c r="L27" s="50"/>
      <c r="M27" s="50"/>
      <c r="N27" s="50"/>
      <c r="O27" s="50"/>
      <c r="P27" s="50"/>
      <c r="Q27" s="50"/>
      <c r="R27" s="83"/>
      <c r="S27" s="83"/>
      <c r="T27" s="76"/>
      <c r="U27" s="76"/>
      <c r="V27" s="76"/>
      <c r="W27" s="76"/>
      <c r="X27" s="76"/>
      <c r="Y27" s="76"/>
      <c r="Z27" s="519"/>
      <c r="AA27" s="513"/>
    </row>
    <row r="28" spans="1:27" ht="14.1" customHeight="1" x14ac:dyDescent="0.3">
      <c r="A28" s="397"/>
      <c r="B28" s="398"/>
      <c r="C28" s="399"/>
      <c r="D28" s="400" t="s">
        <v>293</v>
      </c>
      <c r="E28" s="401"/>
      <c r="F28" s="402"/>
      <c r="G28" s="91"/>
      <c r="H28" s="90"/>
      <c r="I28" s="50"/>
      <c r="J28" s="50"/>
      <c r="K28" s="50"/>
      <c r="L28" s="50"/>
      <c r="M28" s="50"/>
      <c r="N28" s="50"/>
      <c r="O28" s="50"/>
      <c r="P28" s="50"/>
      <c r="Q28" s="50"/>
      <c r="R28" s="83"/>
      <c r="S28" s="83"/>
      <c r="T28" s="76"/>
      <c r="U28" s="76"/>
      <c r="V28" s="76"/>
      <c r="W28" s="76"/>
      <c r="X28" s="76"/>
      <c r="Y28" s="76"/>
      <c r="Z28" s="519"/>
      <c r="AA28" s="513"/>
    </row>
    <row r="29" spans="1:27" ht="16.5" customHeight="1" x14ac:dyDescent="0.3">
      <c r="A29" s="136"/>
      <c r="B29" s="135"/>
      <c r="C29" s="135"/>
      <c r="D29" s="151" t="str">
        <f>CHOOSE(MODE_SS,"Soft-Start Time","*Leave SS Pin Open or Supply by Ext. Bias")</f>
        <v>Soft-Start Time</v>
      </c>
      <c r="E29" s="152">
        <v>5</v>
      </c>
      <c r="F29" s="149" t="s">
        <v>63</v>
      </c>
      <c r="G29" s="91"/>
      <c r="H29" s="90"/>
      <c r="I29" s="50"/>
      <c r="J29" s="50"/>
      <c r="K29" s="50"/>
      <c r="L29" s="50"/>
      <c r="M29" s="50"/>
      <c r="N29" s="50"/>
      <c r="O29" s="50"/>
      <c r="P29" s="50"/>
      <c r="Q29" s="50"/>
      <c r="R29" s="83"/>
      <c r="S29" s="83"/>
      <c r="T29" s="76"/>
      <c r="U29" s="76"/>
      <c r="V29" s="76"/>
      <c r="W29" s="76"/>
      <c r="X29" s="76"/>
      <c r="Y29" s="76"/>
      <c r="Z29" s="519"/>
      <c r="AA29" s="513"/>
    </row>
    <row r="30" spans="1:27" ht="16.5" customHeight="1" thickBot="1" x14ac:dyDescent="0.4">
      <c r="A30" s="139"/>
      <c r="B30" s="140"/>
      <c r="C30" s="140"/>
      <c r="D30" s="380" t="s">
        <v>142</v>
      </c>
      <c r="E30" s="396">
        <f>IF(Tss&gt;0.0001,Css_u*1000000000,"N/A")</f>
        <v>22</v>
      </c>
      <c r="F30" s="141" t="s">
        <v>56</v>
      </c>
      <c r="G30" s="91"/>
      <c r="H30" s="90"/>
      <c r="I30" s="50"/>
      <c r="J30" s="50"/>
      <c r="K30" s="50"/>
      <c r="L30" s="50"/>
      <c r="M30" s="50"/>
      <c r="N30" s="50"/>
      <c r="O30" s="50"/>
      <c r="P30" s="50"/>
      <c r="Q30" s="50"/>
      <c r="R30" s="83"/>
      <c r="S30" s="83"/>
      <c r="T30" s="76"/>
      <c r="U30" s="76"/>
      <c r="V30" s="76"/>
      <c r="W30" s="76"/>
      <c r="X30" s="76"/>
      <c r="Y30" s="76"/>
      <c r="Z30" s="519"/>
      <c r="AA30" s="513"/>
    </row>
    <row r="31" spans="1:27" ht="15.75" customHeight="1" x14ac:dyDescent="0.3">
      <c r="A31" s="136"/>
      <c r="B31" s="135"/>
      <c r="C31" s="135"/>
      <c r="D31" s="87" t="s">
        <v>393</v>
      </c>
      <c r="E31" s="150"/>
      <c r="F31" s="138"/>
      <c r="G31" s="90"/>
      <c r="H31" s="90"/>
      <c r="I31" s="50"/>
      <c r="J31" s="50"/>
      <c r="K31" s="50"/>
      <c r="L31" s="50"/>
      <c r="M31" s="50"/>
      <c r="N31" s="50"/>
      <c r="O31" s="50"/>
      <c r="P31" s="50"/>
      <c r="Q31" s="50"/>
      <c r="R31" s="83"/>
      <c r="S31" s="83"/>
      <c r="T31" s="76"/>
      <c r="U31" s="76"/>
      <c r="V31" s="76"/>
      <c r="W31" s="76"/>
      <c r="X31" s="76"/>
      <c r="Y31" s="76"/>
      <c r="Z31" s="519"/>
      <c r="AA31" s="513"/>
    </row>
    <row r="32" spans="1:27" ht="15.75" customHeight="1" x14ac:dyDescent="0.3">
      <c r="A32" s="136"/>
      <c r="B32" s="135"/>
      <c r="C32" s="135"/>
      <c r="D32" s="87" t="str">
        <f>CHOOSE(TC,"Diode Voltage Drop Thermal Coefficient","*Leave TC Pin Open")</f>
        <v>*Leave TC Pin Open</v>
      </c>
      <c r="E32" s="604">
        <v>-1.2</v>
      </c>
      <c r="F32" s="138" t="s">
        <v>392</v>
      </c>
      <c r="G32" s="90"/>
      <c r="H32" s="90"/>
      <c r="I32" s="50"/>
      <c r="J32" s="50"/>
      <c r="K32" s="50"/>
      <c r="L32" s="50"/>
      <c r="M32" s="50"/>
      <c r="N32" s="50"/>
      <c r="O32" s="50"/>
      <c r="P32" s="50"/>
      <c r="Q32" s="50"/>
      <c r="R32" s="83"/>
      <c r="S32" s="83"/>
      <c r="T32" s="76"/>
      <c r="U32" s="76"/>
      <c r="V32" s="76"/>
      <c r="W32" s="76"/>
      <c r="X32" s="76"/>
      <c r="Y32" s="76"/>
      <c r="Z32" s="519"/>
      <c r="AA32" s="513"/>
    </row>
    <row r="33" spans="1:35" ht="15.75" customHeight="1" thickBot="1" x14ac:dyDescent="0.35">
      <c r="A33" s="139"/>
      <c r="B33" s="156"/>
      <c r="C33" s="156"/>
      <c r="D33" s="520" t="s">
        <v>394</v>
      </c>
      <c r="E33" s="541">
        <f>RTC</f>
        <v>187</v>
      </c>
      <c r="F33" s="542" t="s">
        <v>21</v>
      </c>
      <c r="G33" s="90"/>
      <c r="H33" s="90"/>
      <c r="I33" s="50"/>
      <c r="J33" s="50"/>
      <c r="K33" s="74"/>
      <c r="L33" s="50"/>
      <c r="M33" s="50"/>
      <c r="N33" s="50"/>
      <c r="O33" s="50"/>
      <c r="P33" s="50"/>
      <c r="Q33" s="50"/>
      <c r="R33" s="83"/>
      <c r="S33" s="83"/>
      <c r="T33" s="76"/>
      <c r="U33" s="76"/>
      <c r="V33" s="76"/>
      <c r="W33" s="76"/>
      <c r="X33" s="76"/>
      <c r="Y33" s="76"/>
      <c r="Z33" s="519"/>
      <c r="AA33" s="513"/>
    </row>
    <row r="34" spans="1:35" ht="16.5" customHeight="1" x14ac:dyDescent="0.3">
      <c r="A34" s="136"/>
      <c r="B34" s="135"/>
      <c r="C34" s="135"/>
      <c r="D34" s="154" t="s">
        <v>307</v>
      </c>
      <c r="E34" s="150"/>
      <c r="F34" s="138"/>
      <c r="G34" s="90"/>
      <c r="H34" s="90"/>
      <c r="I34" s="50"/>
      <c r="J34" s="50"/>
      <c r="K34" s="50"/>
      <c r="L34" s="50"/>
      <c r="M34" s="50"/>
      <c r="N34" s="50"/>
      <c r="O34" s="50"/>
      <c r="P34" s="50"/>
      <c r="Q34" s="50"/>
      <c r="R34" s="83"/>
      <c r="S34" s="83"/>
      <c r="T34" s="76"/>
      <c r="U34" s="76"/>
      <c r="V34" s="76"/>
      <c r="W34" s="76"/>
      <c r="X34" s="76"/>
      <c r="Y34" s="76"/>
      <c r="Z34" s="519"/>
      <c r="AA34" s="513"/>
    </row>
    <row r="35" spans="1:35" ht="15.75" customHeight="1" x14ac:dyDescent="0.3">
      <c r="A35" s="136"/>
      <c r="B35" s="135"/>
      <c r="C35" s="153"/>
      <c r="D35" s="154" t="str">
        <f>CHOOSE(MODE_UVLO, "Input UVLO Turn-On Threshold", "*Connect EN pin to VIN or Logic HIGH")</f>
        <v>Input UVLO Turn-On Threshold</v>
      </c>
      <c r="E35" s="155">
        <v>9.5</v>
      </c>
      <c r="F35" s="149" t="s">
        <v>0</v>
      </c>
      <c r="G35" s="90"/>
      <c r="H35" s="90"/>
      <c r="I35" s="83"/>
      <c r="J35" s="83"/>
      <c r="K35" s="83"/>
      <c r="L35" s="217"/>
      <c r="M35" s="50"/>
      <c r="N35" s="50"/>
      <c r="O35" s="50"/>
      <c r="P35" s="50"/>
      <c r="Q35" s="50"/>
      <c r="R35" s="83"/>
      <c r="S35" s="83"/>
      <c r="T35" s="76"/>
      <c r="U35" s="76"/>
      <c r="V35" s="76"/>
      <c r="W35" s="76"/>
      <c r="X35" s="76"/>
      <c r="Y35" s="76"/>
      <c r="Z35" s="519"/>
      <c r="AA35" s="513"/>
    </row>
    <row r="36" spans="1:35" ht="15.75" customHeight="1" thickBot="1" x14ac:dyDescent="0.35">
      <c r="A36" s="139"/>
      <c r="B36" s="156"/>
      <c r="C36" s="156"/>
      <c r="D36" s="441" t="str">
        <f>CHOOSE(MODE_UVLO, "Input UVLO Turn-Off Threshold", "")</f>
        <v>Input UVLO Turn-Off Threshold</v>
      </c>
      <c r="E36" s="442">
        <v>6.5</v>
      </c>
      <c r="F36" s="443" t="s">
        <v>0</v>
      </c>
      <c r="G36" s="90"/>
      <c r="H36" s="137"/>
      <c r="I36" s="218"/>
      <c r="J36" s="220"/>
      <c r="K36" s="83"/>
      <c r="L36" s="83"/>
      <c r="M36" s="50"/>
      <c r="N36" s="50"/>
      <c r="O36" s="50"/>
      <c r="P36" s="50"/>
      <c r="Q36" s="50"/>
      <c r="R36" s="83"/>
      <c r="S36" s="83"/>
      <c r="T36" s="76"/>
      <c r="U36" s="76"/>
      <c r="V36" s="76"/>
      <c r="W36" s="76"/>
      <c r="X36" s="76"/>
      <c r="Y36" s="76"/>
      <c r="Z36" s="519"/>
      <c r="AA36" s="513"/>
    </row>
    <row r="37" spans="1:35" ht="15.75" customHeight="1" x14ac:dyDescent="0.3">
      <c r="A37" s="466"/>
      <c r="B37" s="135"/>
      <c r="C37" s="153"/>
      <c r="D37" s="137" t="s">
        <v>384</v>
      </c>
      <c r="E37" s="591">
        <f>'Variable Mgmt'!F149</f>
        <v>536</v>
      </c>
      <c r="F37" s="138" t="s">
        <v>21</v>
      </c>
      <c r="G37" s="90"/>
      <c r="H37" s="222"/>
      <c r="I37" s="151"/>
      <c r="J37" s="602"/>
      <c r="K37" s="221"/>
      <c r="L37" s="83"/>
      <c r="M37" s="50"/>
      <c r="N37" s="50"/>
      <c r="O37" s="50"/>
      <c r="P37" s="50"/>
      <c r="Q37" s="50"/>
      <c r="R37" s="83"/>
      <c r="S37" s="83"/>
      <c r="T37" s="76"/>
      <c r="U37" s="76"/>
      <c r="V37" s="76"/>
      <c r="W37" s="76"/>
      <c r="X37" s="76"/>
      <c r="Y37" s="76"/>
      <c r="Z37" s="519"/>
      <c r="AA37" s="513"/>
    </row>
    <row r="38" spans="1:35" ht="15.75" customHeight="1" thickBot="1" x14ac:dyDescent="0.35">
      <c r="A38" s="139"/>
      <c r="B38" s="156"/>
      <c r="C38" s="156"/>
      <c r="D38" s="520" t="s">
        <v>295</v>
      </c>
      <c r="E38" s="521">
        <f>'Variable Mgmt'!F150</f>
        <v>100</v>
      </c>
      <c r="F38" s="141" t="s">
        <v>21</v>
      </c>
      <c r="G38" s="90"/>
      <c r="H38" s="90"/>
      <c r="I38" s="83"/>
      <c r="J38" s="219"/>
      <c r="K38" s="83"/>
      <c r="L38" s="83"/>
      <c r="M38" s="50"/>
      <c r="N38" s="50"/>
      <c r="O38" s="50"/>
      <c r="P38" s="50"/>
      <c r="Q38" s="50" t="s">
        <v>78</v>
      </c>
      <c r="R38" s="83"/>
      <c r="S38" s="83"/>
      <c r="T38" s="76"/>
      <c r="U38" s="76"/>
      <c r="V38" s="76"/>
      <c r="W38" s="76"/>
      <c r="X38" s="76"/>
      <c r="Y38" s="76"/>
      <c r="Z38" s="519"/>
      <c r="AA38" s="513"/>
    </row>
    <row r="39" spans="1:35" ht="13.5" customHeight="1" x14ac:dyDescent="0.3">
      <c r="A39" s="466"/>
      <c r="B39" s="522"/>
      <c r="C39" s="522"/>
      <c r="D39" s="523"/>
      <c r="E39" s="524"/>
      <c r="F39" s="525"/>
      <c r="G39" s="90"/>
      <c r="H39" s="90"/>
      <c r="I39" s="50"/>
      <c r="J39" s="75"/>
      <c r="K39" s="50"/>
      <c r="L39" s="50"/>
      <c r="M39" s="50"/>
      <c r="N39" s="50"/>
      <c r="O39" s="50"/>
      <c r="P39" s="50"/>
      <c r="Q39" s="50"/>
      <c r="R39" s="83"/>
      <c r="S39" s="83"/>
      <c r="T39" s="76"/>
      <c r="U39" s="76"/>
      <c r="V39" s="76"/>
      <c r="W39" s="76"/>
      <c r="X39" s="76"/>
      <c r="Y39" s="76"/>
      <c r="Z39" s="519"/>
      <c r="AA39" s="513"/>
    </row>
    <row r="40" spans="1:35" ht="19.5" customHeight="1" thickBot="1" x14ac:dyDescent="0.35">
      <c r="A40" s="467" t="s">
        <v>511</v>
      </c>
      <c r="B40" s="90"/>
      <c r="C40" s="90"/>
      <c r="D40" s="88"/>
      <c r="E40" s="100"/>
      <c r="F40" s="90"/>
      <c r="G40" s="90"/>
      <c r="H40" s="90"/>
      <c r="I40" s="50"/>
      <c r="J40" s="75"/>
      <c r="K40" s="50"/>
      <c r="L40" s="50"/>
      <c r="M40" s="50"/>
      <c r="N40" s="50"/>
      <c r="O40" s="50"/>
      <c r="P40" s="50"/>
      <c r="Q40" s="50"/>
      <c r="R40" s="83"/>
      <c r="S40" s="83"/>
      <c r="T40" s="76"/>
      <c r="U40" s="76"/>
      <c r="V40" s="76"/>
      <c r="W40" s="76"/>
      <c r="X40" s="76"/>
      <c r="Y40" s="76"/>
      <c r="Z40" s="519"/>
      <c r="AA40" s="513"/>
    </row>
    <row r="41" spans="1:35" ht="15.75" customHeight="1" x14ac:dyDescent="0.35">
      <c r="A41" s="587"/>
      <c r="B41" s="514"/>
      <c r="C41" s="514"/>
      <c r="D41" s="588" t="s">
        <v>671</v>
      </c>
      <c r="E41" s="592">
        <v>0.25</v>
      </c>
      <c r="F41" s="589" t="s">
        <v>0</v>
      </c>
      <c r="G41" s="90"/>
      <c r="H41" s="90"/>
      <c r="I41" s="50"/>
      <c r="J41" s="75"/>
      <c r="K41" s="50"/>
      <c r="L41" s="50"/>
      <c r="M41" s="50"/>
      <c r="N41" s="50"/>
      <c r="O41" s="50"/>
      <c r="P41" s="50"/>
      <c r="Q41" s="50"/>
      <c r="R41" s="83"/>
      <c r="S41" s="83"/>
      <c r="T41" s="76"/>
      <c r="U41" s="76"/>
      <c r="V41" s="76"/>
      <c r="W41" s="76"/>
      <c r="X41" s="76"/>
      <c r="Y41" s="76"/>
      <c r="Z41" s="519"/>
      <c r="AA41" s="513"/>
    </row>
    <row r="42" spans="1:35" ht="15.75" customHeight="1" x14ac:dyDescent="0.35">
      <c r="A42" s="433"/>
      <c r="B42" s="76"/>
      <c r="C42" s="76"/>
      <c r="D42" s="650" t="s">
        <v>672</v>
      </c>
      <c r="E42" s="99">
        <v>0.35</v>
      </c>
      <c r="F42" s="438" t="s">
        <v>0</v>
      </c>
      <c r="G42" s="90"/>
      <c r="H42" s="90"/>
      <c r="I42" s="50"/>
      <c r="J42" s="75"/>
      <c r="K42" s="50"/>
      <c r="L42" s="50"/>
      <c r="M42" s="50"/>
      <c r="N42" s="50"/>
      <c r="O42" s="50"/>
      <c r="P42" s="50"/>
      <c r="Q42" s="50"/>
      <c r="R42" s="83"/>
      <c r="S42" s="83"/>
      <c r="T42" s="76"/>
      <c r="U42" s="76"/>
      <c r="V42" s="76"/>
      <c r="W42" s="76"/>
      <c r="X42" s="76"/>
      <c r="Y42" s="76"/>
      <c r="Z42" s="519"/>
      <c r="AA42" s="513"/>
    </row>
    <row r="43" spans="1:35" ht="15.75" customHeight="1" x14ac:dyDescent="0.3">
      <c r="A43" s="89"/>
      <c r="B43" s="135"/>
      <c r="C43" s="135"/>
      <c r="D43" s="154" t="s">
        <v>306</v>
      </c>
      <c r="E43" s="586">
        <v>77</v>
      </c>
      <c r="F43" s="439" t="s">
        <v>84</v>
      </c>
      <c r="G43" s="90"/>
      <c r="H43" s="90"/>
      <c r="I43" s="50"/>
      <c r="J43" s="75"/>
      <c r="K43" s="50"/>
      <c r="L43" s="50"/>
      <c r="M43" s="50"/>
      <c r="N43" s="50"/>
      <c r="O43" s="50"/>
      <c r="P43" s="50"/>
      <c r="Q43" s="50"/>
      <c r="R43" s="83"/>
      <c r="S43" s="83"/>
      <c r="T43" s="76"/>
      <c r="U43" s="76"/>
      <c r="V43" s="76"/>
      <c r="W43" s="76"/>
      <c r="X43" s="76"/>
      <c r="Y43" s="76"/>
      <c r="Z43" s="519"/>
      <c r="AA43" s="513"/>
    </row>
    <row r="44" spans="1:35" ht="15.75" customHeight="1" x14ac:dyDescent="0.35">
      <c r="A44" s="89"/>
      <c r="B44" s="90"/>
      <c r="C44" s="90"/>
      <c r="D44" s="87" t="s">
        <v>522</v>
      </c>
      <c r="E44" s="381">
        <v>60</v>
      </c>
      <c r="F44" s="438" t="s">
        <v>102</v>
      </c>
      <c r="G44" s="90"/>
      <c r="H44" s="90"/>
      <c r="I44" s="50"/>
      <c r="J44" s="50"/>
      <c r="K44" s="50"/>
      <c r="L44" s="50"/>
      <c r="M44" s="50"/>
      <c r="N44" s="50"/>
      <c r="O44" s="50"/>
      <c r="P44" s="50"/>
      <c r="Q44" s="50"/>
      <c r="R44" s="83"/>
      <c r="S44" s="83"/>
      <c r="T44" s="76"/>
      <c r="U44" s="76"/>
      <c r="V44" s="76"/>
      <c r="W44" s="76"/>
      <c r="X44" s="76"/>
      <c r="Y44" s="76"/>
      <c r="Z44" s="519"/>
      <c r="AA44" s="513"/>
    </row>
    <row r="45" spans="1:35" ht="15.75" customHeight="1" x14ac:dyDescent="0.35">
      <c r="A45" s="89"/>
      <c r="B45" s="90"/>
      <c r="C45" s="90"/>
      <c r="D45" s="88" t="s">
        <v>370</v>
      </c>
      <c r="E45" s="377">
        <f>CHOOSE(MODE, 'Calculations - Single'!BL105, 'Calculations - Dual'!BJ105)</f>
        <v>102.25607527517829</v>
      </c>
      <c r="F45" s="104" t="s">
        <v>294</v>
      </c>
      <c r="G45" s="90"/>
      <c r="H45" s="90"/>
      <c r="I45" s="50"/>
      <c r="J45" s="50"/>
      <c r="K45" s="50"/>
      <c r="L45" s="50"/>
      <c r="M45" s="50"/>
      <c r="N45" s="50"/>
      <c r="O45" s="50"/>
      <c r="P45" s="50"/>
      <c r="Q45" s="50"/>
      <c r="R45" s="83"/>
      <c r="S45" s="83"/>
      <c r="T45" s="76"/>
      <c r="U45" s="76"/>
      <c r="V45" s="76"/>
      <c r="W45" s="76"/>
      <c r="X45" s="76"/>
      <c r="Y45" s="76"/>
      <c r="Z45" s="519"/>
      <c r="AA45" s="513"/>
    </row>
    <row r="46" spans="1:35" ht="15.75" customHeight="1" thickBot="1" x14ac:dyDescent="0.4">
      <c r="A46" s="102"/>
      <c r="B46" s="103"/>
      <c r="C46" s="103"/>
      <c r="D46" s="380" t="s">
        <v>547</v>
      </c>
      <c r="E46" s="530">
        <f>E44+E45/1000*E43</f>
        <v>67.873717796188728</v>
      </c>
      <c r="F46" s="440" t="s">
        <v>102</v>
      </c>
      <c r="G46" s="90"/>
      <c r="H46" s="90"/>
      <c r="I46" s="50"/>
      <c r="J46" s="50"/>
      <c r="K46" s="50"/>
      <c r="L46" s="50"/>
      <c r="M46" s="50"/>
      <c r="N46" s="50"/>
      <c r="O46" s="50"/>
      <c r="P46" s="50"/>
      <c r="Q46" s="50"/>
      <c r="R46" s="83"/>
      <c r="S46" s="83"/>
      <c r="T46" s="76"/>
      <c r="U46" s="76"/>
      <c r="V46" s="76"/>
      <c r="W46" s="76"/>
      <c r="X46" s="76"/>
      <c r="Y46" s="76"/>
      <c r="Z46" s="519"/>
      <c r="AA46" s="513"/>
    </row>
    <row r="47" spans="1:35" ht="15.75" customHeight="1" thickBot="1" x14ac:dyDescent="0.35">
      <c r="A47" s="102"/>
      <c r="B47" s="105"/>
      <c r="C47" s="105"/>
      <c r="D47" s="105"/>
      <c r="E47" s="580"/>
      <c r="F47" s="105"/>
      <c r="G47" s="105"/>
      <c r="H47" s="105"/>
      <c r="I47" s="517"/>
      <c r="J47" s="517"/>
      <c r="K47" s="517"/>
      <c r="L47" s="517"/>
      <c r="M47" s="517"/>
      <c r="N47" s="517"/>
      <c r="O47" s="517"/>
      <c r="P47" s="517"/>
      <c r="Q47" s="517"/>
      <c r="R47" s="515"/>
      <c r="S47" s="515"/>
      <c r="T47" s="515"/>
      <c r="U47" s="516"/>
      <c r="V47" s="516"/>
      <c r="W47" s="515"/>
      <c r="X47" s="515"/>
      <c r="Y47" s="515"/>
      <c r="Z47" s="581"/>
      <c r="AA47" s="513"/>
      <c r="AB47" s="23"/>
      <c r="AC47" s="23"/>
      <c r="AD47" s="23"/>
      <c r="AG47" s="23"/>
      <c r="AH47" s="23"/>
      <c r="AI47" s="23"/>
    </row>
    <row r="48" spans="1:35" x14ac:dyDescent="0.3">
      <c r="A48" s="423"/>
      <c r="B48" s="424"/>
      <c r="C48" s="425"/>
      <c r="D48" s="425"/>
      <c r="E48" s="425"/>
      <c r="F48" s="425"/>
      <c r="G48" s="425"/>
      <c r="H48" s="425"/>
      <c r="I48" s="425"/>
      <c r="J48" s="425"/>
      <c r="K48" s="425"/>
      <c r="L48" s="425"/>
      <c r="M48" s="425"/>
      <c r="N48" s="425"/>
      <c r="O48" s="425"/>
      <c r="P48" s="425"/>
      <c r="Q48" s="425"/>
      <c r="R48" s="422"/>
      <c r="S48" s="422"/>
      <c r="T48" s="422"/>
      <c r="U48" s="513"/>
      <c r="V48" s="513"/>
      <c r="W48" s="422"/>
      <c r="X48" s="422"/>
      <c r="Y48" s="422"/>
      <c r="Z48" s="513"/>
      <c r="AA48" s="513"/>
      <c r="AB48" s="23"/>
      <c r="AC48" s="23"/>
      <c r="AD48" s="23"/>
      <c r="AG48" s="23"/>
      <c r="AH48" s="23"/>
      <c r="AI48" s="23"/>
    </row>
    <row r="49" spans="1:35" x14ac:dyDescent="0.3">
      <c r="A49" s="46"/>
      <c r="B49" s="46"/>
      <c r="C49" s="46"/>
      <c r="D49" s="46"/>
      <c r="E49" s="46"/>
      <c r="F49" s="46"/>
      <c r="G49" s="46"/>
      <c r="H49" s="46"/>
      <c r="I49" s="46"/>
      <c r="J49" s="46"/>
      <c r="K49" s="46"/>
      <c r="L49" s="46"/>
      <c r="M49" s="46"/>
      <c r="N49" s="46"/>
      <c r="O49" s="46"/>
      <c r="P49" s="46"/>
      <c r="Q49" s="46"/>
      <c r="R49" s="23"/>
      <c r="S49" s="23"/>
      <c r="T49" s="23"/>
      <c r="W49" s="23"/>
      <c r="X49" s="23"/>
      <c r="Y49" s="23"/>
      <c r="AB49" s="23"/>
      <c r="AC49" s="23"/>
      <c r="AD49" s="23"/>
      <c r="AG49" s="23"/>
      <c r="AH49" s="23"/>
      <c r="AI49" s="23"/>
    </row>
    <row r="50" spans="1:35" x14ac:dyDescent="0.3">
      <c r="B50" s="46"/>
      <c r="C50" s="46"/>
      <c r="D50" s="46"/>
      <c r="E50" s="46"/>
      <c r="F50" s="46"/>
      <c r="G50" s="46"/>
      <c r="H50" s="46"/>
      <c r="I50" s="46"/>
      <c r="J50" s="46"/>
      <c r="K50" s="46"/>
      <c r="L50" s="46"/>
      <c r="R50" s="23"/>
      <c r="S50" s="23"/>
      <c r="T50" s="23"/>
      <c r="W50" s="23"/>
      <c r="X50" s="23"/>
      <c r="Y50" s="23"/>
      <c r="AB50" s="23"/>
      <c r="AC50" s="23"/>
      <c r="AD50" s="23"/>
      <c r="AG50" s="23"/>
      <c r="AH50" s="23"/>
      <c r="AI50" s="23"/>
    </row>
    <row r="51" spans="1:35" x14ac:dyDescent="0.3">
      <c r="B51" s="46"/>
      <c r="C51" s="46"/>
      <c r="D51" s="46"/>
      <c r="E51" s="46"/>
      <c r="F51" s="46"/>
      <c r="G51" s="46"/>
      <c r="H51" s="46"/>
      <c r="I51" s="46"/>
      <c r="J51" s="46"/>
      <c r="K51" s="46"/>
      <c r="L51" s="46"/>
      <c r="R51" s="23"/>
      <c r="S51" s="23"/>
      <c r="T51" s="23"/>
      <c r="W51" s="23"/>
      <c r="X51" s="23"/>
      <c r="Y51" s="23"/>
      <c r="AB51" s="23"/>
      <c r="AC51" s="23"/>
      <c r="AD51" s="23"/>
      <c r="AG51" s="23"/>
      <c r="AH51" s="23"/>
      <c r="AI51" s="23"/>
    </row>
    <row r="52" spans="1:35" x14ac:dyDescent="0.3">
      <c r="B52" s="46"/>
      <c r="C52" s="46"/>
      <c r="D52" s="46"/>
      <c r="E52" s="46"/>
      <c r="F52" s="46"/>
      <c r="G52" s="46"/>
      <c r="H52" s="46"/>
      <c r="I52" s="46"/>
      <c r="J52" s="46"/>
      <c r="K52" s="46"/>
      <c r="L52" s="46"/>
      <c r="R52" s="23"/>
      <c r="S52" s="23"/>
      <c r="T52" s="23"/>
      <c r="W52" s="23"/>
      <c r="X52" s="23"/>
      <c r="Y52" s="23"/>
      <c r="AB52" s="23"/>
      <c r="AC52" s="23"/>
      <c r="AD52" s="23"/>
      <c r="AG52" s="23"/>
      <c r="AH52" s="23"/>
      <c r="AI52" s="23"/>
    </row>
    <row r="53" spans="1:35" x14ac:dyDescent="0.3">
      <c r="B53" s="46"/>
      <c r="C53" s="46"/>
      <c r="D53" s="46"/>
      <c r="E53" s="46"/>
      <c r="F53" s="46"/>
      <c r="G53" s="46"/>
      <c r="H53" s="46"/>
      <c r="I53" s="46"/>
      <c r="J53" s="46"/>
      <c r="K53" s="46"/>
      <c r="L53" s="46"/>
      <c r="R53" s="23"/>
      <c r="S53" s="23"/>
      <c r="T53" s="23"/>
      <c r="W53" s="23"/>
      <c r="X53" s="23"/>
      <c r="Y53" s="23"/>
      <c r="AB53" s="23"/>
      <c r="AC53" s="23"/>
      <c r="AD53" s="23"/>
      <c r="AG53" s="23"/>
      <c r="AH53" s="23"/>
      <c r="AI53" s="23"/>
    </row>
  </sheetData>
  <sheetProtection password="CCC8" sheet="1" objects="1" scenarios="1" selectLockedCells="1"/>
  <phoneticPr fontId="6" type="noConversion"/>
  <conditionalFormatting sqref="E6:E8">
    <cfRule type="cellIs" dxfId="58" priority="100" stopIfTrue="1" operator="notBetween">
      <formula>70</formula>
      <formula>4.5</formula>
    </cfRule>
  </conditionalFormatting>
  <conditionalFormatting sqref="E10">
    <cfRule type="cellIs" dxfId="57" priority="97" stopIfTrue="1" operator="notBetween">
      <formula>-200</formula>
      <formula>200</formula>
    </cfRule>
  </conditionalFormatting>
  <conditionalFormatting sqref="E21">
    <cfRule type="cellIs" dxfId="56" priority="94" stopIfTrue="1" operator="lessThan">
      <formula>$E$20</formula>
    </cfRule>
  </conditionalFormatting>
  <conditionalFormatting sqref="E17">
    <cfRule type="cellIs" dxfId="55" priority="90" stopIfTrue="1" operator="lessThan">
      <formula>$E$16</formula>
    </cfRule>
  </conditionalFormatting>
  <conditionalFormatting sqref="E18">
    <cfRule type="cellIs" dxfId="54" priority="89" stopIfTrue="1" operator="equal">
      <formula>0</formula>
    </cfRule>
  </conditionalFormatting>
  <conditionalFormatting sqref="E35">
    <cfRule type="cellIs" dxfId="53" priority="86" operator="notBetween">
      <formula>70</formula>
      <formula>4.5</formula>
    </cfRule>
  </conditionalFormatting>
  <conditionalFormatting sqref="E29">
    <cfRule type="cellIs" dxfId="52" priority="84" operator="lessThanOrEqual">
      <formula>0.5</formula>
    </cfRule>
  </conditionalFormatting>
  <conditionalFormatting sqref="F14">
    <cfRule type="expression" dxfId="51" priority="73">
      <formula>(MODE=2)</formula>
    </cfRule>
  </conditionalFormatting>
  <conditionalFormatting sqref="E29:F29">
    <cfRule type="expression" dxfId="50" priority="68">
      <formula>OR(MODE_SS=2,MODE_SS=3)</formula>
    </cfRule>
  </conditionalFormatting>
  <conditionalFormatting sqref="D29">
    <cfRule type="expression" dxfId="49" priority="67">
      <formula>OR(MODE_SS=2,MODE_SS=3)</formula>
    </cfRule>
  </conditionalFormatting>
  <conditionalFormatting sqref="D30:F30">
    <cfRule type="expression" dxfId="48" priority="66">
      <formula>OR(MODE_SS=2,MODE_SS=3)</formula>
    </cfRule>
  </conditionalFormatting>
  <conditionalFormatting sqref="D35">
    <cfRule type="expression" dxfId="47" priority="64">
      <formula>MODE_UVLO=2</formula>
    </cfRule>
  </conditionalFormatting>
  <conditionalFormatting sqref="C37:F39 E35:F36">
    <cfRule type="expression" dxfId="46" priority="38">
      <formula>MODE_UVLO=2</formula>
    </cfRule>
  </conditionalFormatting>
  <conditionalFormatting sqref="D36">
    <cfRule type="expression" dxfId="45" priority="61">
      <formula>MODE_UVLO=2</formula>
    </cfRule>
  </conditionalFormatting>
  <conditionalFormatting sqref="E46">
    <cfRule type="cellIs" dxfId="44" priority="46" operator="notBetween">
      <formula>-40</formula>
      <formula>150</formula>
    </cfRule>
  </conditionalFormatting>
  <conditionalFormatting sqref="E44">
    <cfRule type="cellIs" dxfId="43" priority="45" operator="notBetween">
      <formula>-40</formula>
      <formula>150</formula>
    </cfRule>
  </conditionalFormatting>
  <conditionalFormatting sqref="F20">
    <cfRule type="cellIs" dxfId="42" priority="44" stopIfTrue="1" operator="lessThanOrEqual">
      <formula>0</formula>
    </cfRule>
  </conditionalFormatting>
  <conditionalFormatting sqref="A36:F36">
    <cfRule type="expression" dxfId="41" priority="28">
      <formula>MODE_UVLO=1</formula>
    </cfRule>
  </conditionalFormatting>
  <conditionalFormatting sqref="A39:F39">
    <cfRule type="expression" dxfId="40" priority="37">
      <formula>MODE_UVLO=2</formula>
    </cfRule>
  </conditionalFormatting>
  <conditionalFormatting sqref="F37:F38">
    <cfRule type="expression" dxfId="39" priority="36">
      <formula>MODE_UVLO=2</formula>
    </cfRule>
  </conditionalFormatting>
  <conditionalFormatting sqref="E36">
    <cfRule type="cellIs" dxfId="38" priority="62" operator="notBetween">
      <formula>4.5</formula>
      <formula>$E$35</formula>
    </cfRule>
  </conditionalFormatting>
  <conditionalFormatting sqref="F16">
    <cfRule type="cellIs" dxfId="37" priority="26" stopIfTrue="1" operator="lessThanOrEqual">
      <formula>0</formula>
    </cfRule>
  </conditionalFormatting>
  <conditionalFormatting sqref="E11">
    <cfRule type="cellIs" dxfId="36" priority="25" operator="between">
      <formula>-0.0099</formula>
      <formula>0.0099</formula>
    </cfRule>
  </conditionalFormatting>
  <conditionalFormatting sqref="E11">
    <cfRule type="expression" dxfId="35" priority="52">
      <formula>"Iout&gt;2"</formula>
    </cfRule>
  </conditionalFormatting>
  <conditionalFormatting sqref="J37">
    <cfRule type="cellIs" dxfId="34" priority="108" stopIfTrue="1" operator="notBetween">
      <formula>600</formula>
      <formula>50</formula>
    </cfRule>
    <cfRule type="cellIs" dxfId="33" priority="109" stopIfTrue="1" operator="greaterThan">
      <formula>$E$9</formula>
    </cfRule>
  </conditionalFormatting>
  <conditionalFormatting sqref="E12">
    <cfRule type="cellIs" dxfId="32" priority="24" operator="notBetween">
      <formula>-200</formula>
      <formula>200</formula>
    </cfRule>
  </conditionalFormatting>
  <conditionalFormatting sqref="E13">
    <cfRule type="cellIs" dxfId="31" priority="22" operator="between">
      <formula>-0.0099</formula>
      <formula>0.0099</formula>
    </cfRule>
  </conditionalFormatting>
  <conditionalFormatting sqref="E13">
    <cfRule type="expression" dxfId="30" priority="23">
      <formula>Iout2 &gt; 2</formula>
    </cfRule>
  </conditionalFormatting>
  <conditionalFormatting sqref="E22">
    <cfRule type="cellIs" dxfId="29" priority="18" stopIfTrue="1" operator="equal">
      <formula>0</formula>
    </cfRule>
  </conditionalFormatting>
  <conditionalFormatting sqref="D32">
    <cfRule type="expression" dxfId="28" priority="13">
      <formula>OR(TC=2)</formula>
    </cfRule>
  </conditionalFormatting>
  <conditionalFormatting sqref="D33:F33 E32:F32">
    <cfRule type="expression" dxfId="27" priority="12">
      <formula>OR(TC=2)</formula>
    </cfRule>
  </conditionalFormatting>
  <conditionalFormatting sqref="L22">
    <cfRule type="cellIs" dxfId="26" priority="6" stopIfTrue="1" operator="equal">
      <formula>0</formula>
    </cfRule>
  </conditionalFormatting>
  <conditionalFormatting sqref="L21">
    <cfRule type="cellIs" dxfId="25" priority="8" stopIfTrue="1" operator="lessThan">
      <formula>$L$20</formula>
    </cfRule>
  </conditionalFormatting>
  <conditionalFormatting sqref="M20">
    <cfRule type="cellIs" dxfId="24" priority="7" stopIfTrue="1" operator="lessThanOrEqual">
      <formula>0</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48"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672895" r:id="rId6" name="Spinner 127">
              <controlPr defaultSize="0" autoPict="0">
                <anchor moveWithCells="1" sizeWithCells="1">
                  <from>
                    <xdr:col>5</xdr:col>
                    <xdr:colOff>121920</xdr:colOff>
                    <xdr:row>6</xdr:row>
                    <xdr:rowOff>7620</xdr:rowOff>
                  </from>
                  <to>
                    <xdr:col>5</xdr:col>
                    <xdr:colOff>304800</xdr:colOff>
                    <xdr:row>7</xdr:row>
                    <xdr:rowOff>30480</xdr:rowOff>
                  </to>
                </anchor>
              </controlPr>
            </control>
          </mc:Choice>
        </mc:AlternateContent>
        <mc:AlternateContent xmlns:mc="http://schemas.openxmlformats.org/markup-compatibility/2006">
          <mc:Choice Requires="x14">
            <control shapeId="672935" r:id="rId7" name="Drop Down 167">
              <controlPr defaultSize="0" autoLine="0" autoPict="0">
                <anchor moveWithCells="1">
                  <from>
                    <xdr:col>4</xdr:col>
                    <xdr:colOff>7620</xdr:colOff>
                    <xdr:row>27</xdr:row>
                    <xdr:rowOff>0</xdr:rowOff>
                  </from>
                  <to>
                    <xdr:col>5</xdr:col>
                    <xdr:colOff>274320</xdr:colOff>
                    <xdr:row>28</xdr:row>
                    <xdr:rowOff>30480</xdr:rowOff>
                  </to>
                </anchor>
              </controlPr>
            </control>
          </mc:Choice>
        </mc:AlternateContent>
        <mc:AlternateContent xmlns:mc="http://schemas.openxmlformats.org/markup-compatibility/2006">
          <mc:Choice Requires="x14">
            <control shapeId="673043" r:id="rId8" name="Drop Down 275">
              <controlPr defaultSize="0" autoLine="0" autoPict="0">
                <anchor moveWithCells="1">
                  <from>
                    <xdr:col>4</xdr:col>
                    <xdr:colOff>7620</xdr:colOff>
                    <xdr:row>33</xdr:row>
                    <xdr:rowOff>0</xdr:rowOff>
                  </from>
                  <to>
                    <xdr:col>5</xdr:col>
                    <xdr:colOff>259080</xdr:colOff>
                    <xdr:row>33</xdr:row>
                    <xdr:rowOff>198120</xdr:rowOff>
                  </to>
                </anchor>
              </controlPr>
            </control>
          </mc:Choice>
        </mc:AlternateContent>
        <mc:AlternateContent xmlns:mc="http://schemas.openxmlformats.org/markup-compatibility/2006">
          <mc:Choice Requires="x14">
            <control shapeId="697343" r:id="rId9" name="Drop Down 3071">
              <controlPr defaultSize="0" autoLine="0" autoPict="0">
                <anchor moveWithCells="1">
                  <from>
                    <xdr:col>11</xdr:col>
                    <xdr:colOff>7620</xdr:colOff>
                    <xdr:row>11</xdr:row>
                    <xdr:rowOff>0</xdr:rowOff>
                  </from>
                  <to>
                    <xdr:col>12</xdr:col>
                    <xdr:colOff>68580</xdr:colOff>
                    <xdr:row>12</xdr:row>
                    <xdr:rowOff>7620</xdr:rowOff>
                  </to>
                </anchor>
              </controlPr>
            </control>
          </mc:Choice>
        </mc:AlternateContent>
        <mc:AlternateContent xmlns:mc="http://schemas.openxmlformats.org/markup-compatibility/2006">
          <mc:Choice Requires="x14">
            <control shapeId="714798" r:id="rId10" name="Drop Down 3118">
              <controlPr defaultSize="0" autoLine="0" autoPict="0">
                <anchor moveWithCells="1">
                  <from>
                    <xdr:col>4</xdr:col>
                    <xdr:colOff>0</xdr:colOff>
                    <xdr:row>30</xdr:row>
                    <xdr:rowOff>7620</xdr:rowOff>
                  </from>
                  <to>
                    <xdr:col>5</xdr:col>
                    <xdr:colOff>266700</xdr:colOff>
                    <xdr:row>31</xdr:row>
                    <xdr:rowOff>7620</xdr:rowOff>
                  </to>
                </anchor>
              </controlPr>
            </control>
          </mc:Choice>
        </mc:AlternateContent>
        <mc:AlternateContent xmlns:mc="http://schemas.openxmlformats.org/markup-compatibility/2006">
          <mc:Choice Requires="x14">
            <control shapeId="715085" r:id="rId11"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8" id="{2F97F2FF-95A0-40C5-B045-6ADA68EA7C2F}">
            <xm:f>'Variable Mgmt'!$B$52</xm:f>
            <x14:dxf>
              <font>
                <strike val="0"/>
                <color theme="0"/>
              </font>
              <fill>
                <patternFill>
                  <bgColor theme="0"/>
                </patternFill>
              </fill>
            </x14:dxf>
          </x14:cfRule>
          <xm:sqref>E12:E13</xm:sqref>
        </x14:conditionalFormatting>
        <x14:conditionalFormatting xmlns:xm="http://schemas.microsoft.com/office/excel/2006/main">
          <x14:cfRule type="expression" priority="140" id="{9B976DD7-FFA8-454F-A63D-186A721FDF9C}">
            <xm:f>'Variable Mgmt'!$B$52</xm:f>
            <x14:dxf>
              <border>
                <bottom/>
                <vertical/>
                <horizontal/>
              </border>
            </x14:dxf>
          </x14:cfRule>
          <xm:sqref>A12:F13</xm:sqref>
        </x14:conditionalFormatting>
        <x14:conditionalFormatting xmlns:xm="http://schemas.microsoft.com/office/excel/2006/main">
          <x14:cfRule type="expression" priority="141" id="{25C53C6F-CE07-4419-8FCF-F6B8FCD8434A}">
            <xm:f>'Variable Mgmt'!$B$52</xm:f>
            <x14:dxf>
              <border>
                <right/>
                <vertical/>
                <horizontal/>
              </border>
            </x14:dxf>
          </x14:cfRule>
          <xm:sqref>F12:F13</xm:sqref>
        </x14:conditionalFormatting>
        <x14:conditionalFormatting xmlns:xm="http://schemas.microsoft.com/office/excel/2006/main">
          <x14:cfRule type="expression" priority="11" id="{56BB0655-3B2C-4E9D-AD05-7700A46C30F4}">
            <xm:f>'Variable Mgmt'!$B$52=FALSE</xm:f>
            <x14:dxf>
              <border>
                <bottom/>
                <vertical/>
                <horizontal/>
              </border>
            </x14:dxf>
          </x14:cfRule>
          <xm:sqref>A12:F12</xm:sqref>
        </x14:conditionalFormatting>
        <x14:conditionalFormatting xmlns:xm="http://schemas.microsoft.com/office/excel/2006/main">
          <x14:cfRule type="expression" priority="10" id="{7DE853EF-1754-4C48-A140-FF26B3EC5CF8}">
            <xm:f>'Variable Mgmt'!$B$52=FALSE</xm:f>
            <x14:dxf>
              <border>
                <bottom/>
                <vertical/>
                <horizontal/>
              </border>
            </x14:dxf>
          </x14:cfRule>
          <xm:sqref>A11:F11</xm:sqref>
        </x14:conditionalFormatting>
        <x14:conditionalFormatting xmlns:xm="http://schemas.microsoft.com/office/excel/2006/main">
          <x14:cfRule type="expression" priority="5" id="{18CE8F81-B526-43C7-B5F1-BAA9C73809CD}">
            <xm:f>'Variable Mgmt'!$B$52=TRUE</xm:f>
            <x14:dxf>
              <font>
                <color theme="0"/>
              </font>
              <fill>
                <patternFill>
                  <bgColor theme="0"/>
                </patternFill>
              </fill>
              <border>
                <right/>
                <top/>
                <bottom/>
              </border>
            </x14:dxf>
          </x14:cfRule>
          <xm:sqref>K20:M23</xm:sqref>
        </x14:conditionalFormatting>
        <x14:conditionalFormatting xmlns:xm="http://schemas.microsoft.com/office/excel/2006/main">
          <x14:cfRule type="expression" priority="4" id="{B42E45EE-F49B-4512-9DB9-8B85B95C6919}">
            <xm:f>'Variable Mgmt'!$B$52=TRUE</xm:f>
            <x14:dxf>
              <border>
                <left/>
                <right/>
                <top/>
                <bottom/>
                <vertical/>
                <horizontal/>
              </border>
            </x14:dxf>
          </x14:cfRule>
          <xm:sqref>H20:J23</xm:sqref>
        </x14:conditionalFormatting>
        <x14:conditionalFormatting xmlns:xm="http://schemas.microsoft.com/office/excel/2006/main">
          <x14:cfRule type="expression" priority="3" id="{8076779E-531E-4945-9FF1-9C72CDB0D6DC}">
            <xm:f>'Variable Mgmt'!$B$52=TRUE</xm:f>
            <x14:dxf>
              <border>
                <top/>
                <bottom/>
                <vertical/>
                <horizontal/>
              </border>
            </x14:dxf>
          </x14:cfRule>
          <xm:sqref>G21:G22</xm:sqref>
        </x14:conditionalFormatting>
        <x14:conditionalFormatting xmlns:xm="http://schemas.microsoft.com/office/excel/2006/main">
          <x14:cfRule type="expression" priority="144" id="{2E385B5D-C8C9-48C7-B4AE-E1A8F27EB6E6}">
            <xm:f>AND('Variable Mgmt'!#REF!&gt;'Variable Mgmt'!$B$56*1/1000, MODE=1)</xm:f>
            <x14:dxf>
              <font>
                <color rgb="FFFF0000"/>
              </font>
            </x14:dxf>
          </x14:cfRule>
          <xm:sqref>L7</xm:sqref>
        </x14:conditionalFormatting>
        <x14:conditionalFormatting xmlns:xm="http://schemas.microsoft.com/office/excel/2006/main">
          <x14:cfRule type="expression" priority="145" id="{EE277573-B7FD-4D2F-97C3-CC46EAD89E7B}">
            <xm:f>AND('Variable Mgmt'!#REF!&gt;'Variable Mgmt'!$B$56*1/1000, MODE=1)</xm:f>
            <x14:dxf>
              <font>
                <b/>
                <i val="0"/>
                <color rgb="FFFF0000"/>
              </font>
            </x14:dxf>
          </x14:cfRule>
          <xm:sqref>L12</xm:sqref>
        </x14:conditionalFormatting>
        <x14:conditionalFormatting xmlns:xm="http://schemas.microsoft.com/office/excel/2006/main">
          <x14:cfRule type="expression" priority="2" id="{DA50B535-B6B5-4DFB-9CBC-C505A48C7EB5}">
            <xm:f>'Variable Mgmt'!$B$52=TRUE</xm:f>
            <x14:dxf>
              <font>
                <color theme="0"/>
              </font>
              <fill>
                <patternFill>
                  <bgColor theme="0"/>
                </patternFill>
              </fill>
            </x14:dxf>
          </x14:cfRule>
          <xm:sqref>L10</xm:sqref>
        </x14:conditionalFormatting>
        <x14:conditionalFormatting xmlns:xm="http://schemas.microsoft.com/office/excel/2006/main">
          <x14:cfRule type="expression" priority="1" id="{FB76FAF3-E114-4E5D-9585-0FED8547CF75}">
            <xm:f>'Variable Mgmt'!$D$38=TRUE</xm:f>
            <x14:dxf>
              <font>
                <color theme="0"/>
              </font>
              <fill>
                <patternFill patternType="solid">
                  <fgColor auto="1"/>
                  <bgColor rgb="FFFF0000"/>
                </patternFill>
              </fill>
            </x14:dxf>
          </x14:cfRule>
          <xm:sqref>L15:M15</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2:B7"/>
  <sheetViews>
    <sheetView topLeftCell="A7" zoomScaleNormal="100" workbookViewId="0">
      <selection activeCell="B12" sqref="B12"/>
    </sheetView>
  </sheetViews>
  <sheetFormatPr defaultRowHeight="13.2" x14ac:dyDescent="0.25"/>
  <cols>
    <col min="2" max="2" width="126.44140625" customWidth="1"/>
  </cols>
  <sheetData>
    <row r="2" spans="1:2" ht="17.25" customHeight="1" x14ac:dyDescent="0.25">
      <c r="A2" s="77" t="str">
        <f>CHOOSE(MODE, "Fsw_SINGLE", "Fsw_DUAL")</f>
        <v>Fsw_DUAL</v>
      </c>
    </row>
    <row r="5" spans="1:2" ht="409.5" customHeight="1" x14ac:dyDescent="0.25">
      <c r="B5" s="367"/>
    </row>
    <row r="6" spans="1:2" ht="17.100000000000001" customHeight="1" x14ac:dyDescent="0.25"/>
    <row r="7" spans="1:2" ht="409.5" customHeight="1" x14ac:dyDescent="0.25">
      <c r="B7" s="367"/>
    </row>
  </sheetData>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00B050"/>
  </sheetPr>
  <dimension ref="A2:T67"/>
  <sheetViews>
    <sheetView topLeftCell="C8" zoomScaleNormal="100" zoomScaleSheetLayoutView="145" workbookViewId="0">
      <selection activeCell="H21" sqref="H21"/>
    </sheetView>
  </sheetViews>
  <sheetFormatPr defaultRowHeight="13.2" x14ac:dyDescent="0.25"/>
  <cols>
    <col min="1" max="1" width="12.6640625" style="367" customWidth="1"/>
    <col min="2" max="2" width="124.6640625" style="11" customWidth="1"/>
    <col min="3" max="4" width="9.109375" style="367"/>
    <col min="5" max="5" width="124.6640625" style="7" customWidth="1"/>
    <col min="8" max="8" width="124.6640625" style="368" customWidth="1"/>
  </cols>
  <sheetData>
    <row r="2" spans="1:15" x14ac:dyDescent="0.25">
      <c r="A2" s="367" t="str">
        <f>'Variable Mgmt'!K44</f>
        <v>SCH_BIPOLAR_UVLOadj_SSadj_TCno</v>
      </c>
    </row>
    <row r="5" spans="1:15" s="367" customFormat="1" ht="13.5" customHeight="1" x14ac:dyDescent="0.25">
      <c r="E5" s="368"/>
      <c r="H5" s="368"/>
    </row>
    <row r="6" spans="1:15" s="367" customFormat="1" ht="16.5" customHeight="1" x14ac:dyDescent="0.25">
      <c r="E6" s="368"/>
      <c r="H6" s="368"/>
    </row>
    <row r="7" spans="1:15" ht="357" customHeight="1" x14ac:dyDescent="0.25">
      <c r="B7" s="12"/>
      <c r="E7" s="395"/>
      <c r="F7" s="11"/>
      <c r="G7" s="11"/>
      <c r="I7" s="11"/>
      <c r="J7" s="11"/>
      <c r="K7" s="11"/>
      <c r="L7" s="11"/>
      <c r="M7" s="11"/>
      <c r="N7" s="11"/>
    </row>
    <row r="8" spans="1:15" s="367" customFormat="1" ht="17.25" customHeight="1" x14ac:dyDescent="0.25">
      <c r="B8" s="368"/>
      <c r="E8" s="368"/>
      <c r="H8" s="368"/>
      <c r="O8" s="369"/>
    </row>
    <row r="9" spans="1:15" ht="357" customHeight="1" x14ac:dyDescent="0.25">
      <c r="B9" s="112"/>
      <c r="D9" s="368"/>
      <c r="E9" s="395"/>
      <c r="F9" s="367"/>
      <c r="G9" s="11"/>
      <c r="I9" s="11"/>
      <c r="J9" s="11"/>
      <c r="K9" s="11"/>
      <c r="L9" s="11"/>
      <c r="M9" s="11"/>
      <c r="N9" s="11"/>
      <c r="O9" s="370"/>
    </row>
    <row r="10" spans="1:15" s="367" customFormat="1" x14ac:dyDescent="0.25">
      <c r="E10" s="368"/>
      <c r="H10" s="368"/>
    </row>
    <row r="11" spans="1:15" ht="357" customHeight="1" x14ac:dyDescent="0.25">
      <c r="B11" s="395"/>
      <c r="D11" s="368"/>
      <c r="E11" s="368"/>
      <c r="F11" s="367"/>
      <c r="G11" s="11"/>
      <c r="I11" s="11"/>
      <c r="J11" s="11"/>
      <c r="K11" s="11"/>
      <c r="L11" s="11"/>
      <c r="M11" s="11"/>
      <c r="N11" s="11"/>
      <c r="O11" s="370"/>
    </row>
    <row r="12" spans="1:15" x14ac:dyDescent="0.25">
      <c r="B12" s="367"/>
      <c r="E12" s="368"/>
      <c r="F12" s="367"/>
      <c r="G12" s="11"/>
      <c r="I12" s="11"/>
      <c r="J12" s="11"/>
      <c r="K12" s="11"/>
      <c r="L12" s="11"/>
      <c r="M12" s="11"/>
      <c r="N12" s="11"/>
    </row>
    <row r="13" spans="1:15" ht="357" customHeight="1" x14ac:dyDescent="0.25">
      <c r="B13" s="395"/>
      <c r="E13" s="368"/>
      <c r="F13" s="367"/>
      <c r="G13" s="11"/>
      <c r="I13" s="11"/>
      <c r="J13" s="11"/>
      <c r="K13" s="11"/>
      <c r="L13" s="11"/>
      <c r="M13" s="11"/>
      <c r="N13" s="11"/>
      <c r="O13" s="370"/>
    </row>
    <row r="14" spans="1:15" x14ac:dyDescent="0.25">
      <c r="B14" s="367"/>
      <c r="E14" s="368"/>
      <c r="F14" s="367"/>
      <c r="G14" s="11"/>
      <c r="I14" s="11"/>
      <c r="J14" s="11"/>
      <c r="K14" s="11"/>
      <c r="L14" s="11"/>
      <c r="M14" s="11"/>
      <c r="N14" s="11"/>
    </row>
    <row r="15" spans="1:15" ht="357" customHeight="1" x14ac:dyDescent="0.25">
      <c r="E15" s="368"/>
      <c r="F15" s="367"/>
      <c r="G15" s="11"/>
      <c r="I15" s="11"/>
      <c r="J15" s="11"/>
      <c r="K15" s="11"/>
      <c r="L15" s="11"/>
      <c r="M15" s="11"/>
      <c r="N15" s="11"/>
      <c r="O15" s="370"/>
    </row>
    <row r="16" spans="1:15" x14ac:dyDescent="0.25">
      <c r="B16" s="367"/>
      <c r="E16" s="368"/>
      <c r="F16" s="11"/>
      <c r="G16" s="11"/>
      <c r="I16" s="11"/>
      <c r="J16" s="11"/>
      <c r="K16" s="11"/>
      <c r="L16" s="11"/>
      <c r="M16" s="11"/>
      <c r="N16" s="11"/>
    </row>
    <row r="17" spans="2:15" ht="357" customHeight="1" x14ac:dyDescent="0.25">
      <c r="B17" s="395"/>
      <c r="E17" s="368"/>
      <c r="F17" s="367"/>
      <c r="G17" s="11"/>
      <c r="I17" s="11"/>
      <c r="J17" s="11"/>
      <c r="K17" s="11"/>
      <c r="L17" s="11"/>
      <c r="M17" s="11"/>
      <c r="N17" s="11"/>
      <c r="O17" s="370"/>
    </row>
    <row r="18" spans="2:15" ht="12" customHeight="1" x14ac:dyDescent="0.25">
      <c r="B18" s="367"/>
      <c r="E18" s="368"/>
      <c r="F18" s="11"/>
      <c r="G18" s="11"/>
      <c r="I18" s="11"/>
      <c r="J18" s="11"/>
      <c r="K18" s="11"/>
      <c r="L18" s="11"/>
      <c r="M18" s="11"/>
      <c r="N18" s="11"/>
    </row>
    <row r="19" spans="2:15" ht="357" customHeight="1" x14ac:dyDescent="0.25">
      <c r="B19" s="367"/>
      <c r="E19" s="368"/>
      <c r="F19" s="11"/>
      <c r="G19" s="11"/>
      <c r="I19" s="11"/>
      <c r="J19" s="11"/>
      <c r="K19" s="11"/>
      <c r="L19" s="11"/>
      <c r="M19" s="11"/>
      <c r="N19" s="11"/>
    </row>
    <row r="20" spans="2:15" ht="13.5" customHeight="1" x14ac:dyDescent="0.25">
      <c r="B20" s="367"/>
      <c r="E20" s="368"/>
      <c r="F20" s="11"/>
      <c r="G20" s="11"/>
      <c r="I20" s="11"/>
      <c r="J20" s="11"/>
      <c r="K20" s="11"/>
      <c r="L20" s="11"/>
      <c r="M20" s="11"/>
      <c r="N20" s="11"/>
    </row>
    <row r="21" spans="2:15" ht="357" customHeight="1" x14ac:dyDescent="0.25">
      <c r="B21" s="367"/>
      <c r="E21" s="368"/>
      <c r="F21" s="11"/>
      <c r="G21" s="11"/>
      <c r="I21" s="11"/>
      <c r="J21" s="11"/>
      <c r="K21" s="11"/>
      <c r="L21" s="11"/>
      <c r="M21" s="11"/>
      <c r="N21" s="11"/>
    </row>
    <row r="22" spans="2:15" x14ac:dyDescent="0.25">
      <c r="B22" s="367"/>
      <c r="E22" s="368"/>
      <c r="F22" s="11"/>
      <c r="G22" s="11"/>
      <c r="I22" s="11"/>
      <c r="J22" s="11"/>
      <c r="K22" s="11"/>
      <c r="L22" s="11"/>
      <c r="M22" s="11"/>
      <c r="N22" s="11"/>
    </row>
    <row r="23" spans="2:15" ht="357" customHeight="1" x14ac:dyDescent="0.25">
      <c r="B23" s="367"/>
      <c r="E23" s="368"/>
      <c r="F23" s="11"/>
      <c r="G23" s="11"/>
      <c r="I23" s="11"/>
      <c r="J23" s="11"/>
      <c r="K23" s="11"/>
      <c r="L23" s="11"/>
      <c r="M23" s="11"/>
      <c r="N23" s="11"/>
    </row>
    <row r="24" spans="2:15" x14ac:dyDescent="0.25">
      <c r="B24" s="367"/>
      <c r="E24" s="368"/>
      <c r="F24" s="11"/>
      <c r="G24" s="11"/>
      <c r="I24" s="11"/>
      <c r="J24" s="11"/>
      <c r="K24" s="11"/>
      <c r="L24" s="11"/>
      <c r="M24" s="11"/>
      <c r="N24" s="11"/>
    </row>
    <row r="25" spans="2:15" ht="327.75" customHeight="1" x14ac:dyDescent="0.25">
      <c r="B25" s="367"/>
      <c r="E25" s="368"/>
      <c r="F25" s="11"/>
      <c r="G25" s="11"/>
      <c r="I25" s="11"/>
      <c r="J25" s="11"/>
      <c r="K25" s="11"/>
      <c r="L25" s="11"/>
      <c r="M25" s="11"/>
      <c r="N25" s="11"/>
    </row>
    <row r="26" spans="2:15" x14ac:dyDescent="0.25">
      <c r="E26" s="368"/>
      <c r="F26" s="11"/>
      <c r="G26" s="11"/>
      <c r="I26" s="11"/>
      <c r="J26" s="11"/>
      <c r="K26" s="11"/>
      <c r="L26" s="11"/>
      <c r="M26" s="11"/>
      <c r="N26" s="11"/>
    </row>
    <row r="27" spans="2:15" ht="327.60000000000002" customHeight="1" x14ac:dyDescent="0.25">
      <c r="B27" s="367"/>
      <c r="E27" s="368"/>
      <c r="F27" s="11"/>
      <c r="G27" s="11"/>
      <c r="I27" s="11"/>
      <c r="J27" s="11"/>
      <c r="K27" s="11"/>
      <c r="L27" s="11"/>
      <c r="M27" s="11"/>
      <c r="N27" s="11"/>
    </row>
    <row r="28" spans="2:15" x14ac:dyDescent="0.25">
      <c r="B28" s="367"/>
      <c r="E28" s="368"/>
      <c r="F28" s="11"/>
      <c r="G28" s="11"/>
      <c r="I28" s="11"/>
      <c r="J28" s="11"/>
      <c r="K28" s="11"/>
      <c r="L28" s="11"/>
      <c r="M28" s="11"/>
      <c r="N28" s="11"/>
    </row>
    <row r="29" spans="2:15" ht="327.75" customHeight="1" x14ac:dyDescent="0.25">
      <c r="B29" s="367"/>
      <c r="E29" s="368"/>
      <c r="F29" s="11"/>
      <c r="G29" s="11"/>
      <c r="I29" s="11"/>
      <c r="J29" s="11"/>
      <c r="K29" s="11"/>
      <c r="L29" s="11"/>
      <c r="M29" s="11"/>
      <c r="N29" s="11"/>
    </row>
    <row r="30" spans="2:15" ht="13.5" customHeight="1" x14ac:dyDescent="0.25">
      <c r="B30" s="367"/>
      <c r="E30" s="368"/>
      <c r="F30" s="11"/>
      <c r="G30" s="11"/>
      <c r="I30" s="11"/>
      <c r="J30" s="11"/>
      <c r="K30" s="11"/>
      <c r="L30" s="11"/>
      <c r="M30" s="11"/>
      <c r="N30" s="11"/>
    </row>
    <row r="31" spans="2:15" ht="327.75" customHeight="1" x14ac:dyDescent="0.25">
      <c r="B31" s="367"/>
      <c r="E31" s="368"/>
      <c r="F31" s="11"/>
      <c r="G31" s="11"/>
      <c r="I31" s="11"/>
      <c r="J31" s="11"/>
      <c r="K31" s="11"/>
      <c r="L31" s="11"/>
      <c r="M31" s="11"/>
      <c r="N31" s="11"/>
    </row>
    <row r="32" spans="2:15" ht="13.5" customHeight="1" x14ac:dyDescent="0.25">
      <c r="B32" s="367"/>
      <c r="E32" s="368"/>
      <c r="F32" s="11"/>
      <c r="G32" s="11"/>
      <c r="I32" s="11"/>
      <c r="J32" s="11"/>
      <c r="K32" s="11"/>
      <c r="L32" s="11"/>
      <c r="M32" s="11"/>
      <c r="N32" s="11"/>
    </row>
    <row r="33" spans="2:20" ht="327.75" customHeight="1" x14ac:dyDescent="0.25">
      <c r="B33" s="367"/>
      <c r="E33" s="368"/>
      <c r="F33" s="11"/>
      <c r="G33" s="11"/>
      <c r="I33" s="11"/>
      <c r="J33" s="11"/>
      <c r="K33" s="11"/>
      <c r="L33" s="11"/>
      <c r="M33" s="11"/>
      <c r="N33" s="11"/>
    </row>
    <row r="34" spans="2:20" ht="13.5" customHeight="1" x14ac:dyDescent="0.25">
      <c r="B34" s="367"/>
      <c r="E34" s="368"/>
      <c r="F34" s="11"/>
      <c r="G34" s="11"/>
      <c r="I34" s="11"/>
      <c r="J34" s="11"/>
      <c r="K34" s="11"/>
      <c r="L34" s="11"/>
      <c r="M34" s="11"/>
      <c r="N34" s="11"/>
    </row>
    <row r="35" spans="2:20" ht="327.60000000000002" customHeight="1" x14ac:dyDescent="0.25">
      <c r="B35" s="367"/>
      <c r="E35" s="368"/>
      <c r="F35" s="11"/>
      <c r="G35" s="11"/>
      <c r="I35" s="11"/>
      <c r="J35" s="11"/>
      <c r="K35" s="11"/>
      <c r="L35" s="11"/>
      <c r="M35" s="11"/>
      <c r="N35" s="11"/>
    </row>
    <row r="36" spans="2:20" ht="13.5" customHeight="1" x14ac:dyDescent="0.25">
      <c r="B36" s="367"/>
      <c r="E36" s="368"/>
      <c r="F36" s="11"/>
      <c r="G36" s="11"/>
      <c r="I36" s="11"/>
      <c r="J36" s="11"/>
      <c r="K36" s="11"/>
      <c r="L36" s="11"/>
      <c r="M36" s="11"/>
      <c r="N36" s="11"/>
    </row>
    <row r="37" spans="2:20" ht="327.75" customHeight="1" x14ac:dyDescent="0.25">
      <c r="B37" s="367"/>
      <c r="E37" s="368"/>
      <c r="F37" s="11"/>
      <c r="G37" s="11"/>
      <c r="I37" s="11"/>
      <c r="J37" s="11"/>
      <c r="K37" s="11"/>
      <c r="L37" s="11"/>
      <c r="M37" s="11"/>
      <c r="N37" s="11"/>
    </row>
    <row r="38" spans="2:20" ht="13.5" customHeight="1" x14ac:dyDescent="0.4">
      <c r="B38" s="367"/>
      <c r="E38" s="368"/>
      <c r="F38" s="11"/>
      <c r="G38" s="371"/>
      <c r="I38" s="372"/>
      <c r="J38" s="11"/>
      <c r="K38" s="11"/>
      <c r="L38" s="11"/>
      <c r="M38" s="11"/>
      <c r="N38" s="11"/>
    </row>
    <row r="39" spans="2:20" ht="327.75" customHeight="1" x14ac:dyDescent="0.25">
      <c r="B39" s="367"/>
      <c r="E39" s="368"/>
      <c r="F39" s="11"/>
      <c r="G39" s="11"/>
      <c r="I39" s="372"/>
      <c r="J39" s="11"/>
      <c r="K39" s="11"/>
      <c r="L39" s="11"/>
      <c r="M39" s="11"/>
      <c r="N39" s="11"/>
    </row>
    <row r="40" spans="2:20" x14ac:dyDescent="0.25">
      <c r="B40" s="367"/>
      <c r="E40" s="368"/>
      <c r="F40" s="11"/>
      <c r="G40" s="11"/>
      <c r="I40" s="11"/>
      <c r="J40" s="11"/>
      <c r="K40" s="11"/>
      <c r="L40" s="11"/>
      <c r="M40" s="11"/>
      <c r="N40" s="11"/>
      <c r="O40" s="11"/>
      <c r="P40" s="11"/>
      <c r="Q40" s="13"/>
      <c r="S40" s="373"/>
      <c r="T40" s="373"/>
    </row>
    <row r="41" spans="2:20" ht="327.75" customHeight="1" x14ac:dyDescent="0.25">
      <c r="B41" s="367"/>
      <c r="E41" s="368"/>
      <c r="F41" s="11"/>
      <c r="G41" s="11"/>
      <c r="I41" s="11"/>
      <c r="J41" s="11"/>
      <c r="K41" s="11"/>
      <c r="L41" s="11"/>
      <c r="M41" s="11"/>
      <c r="N41" s="11"/>
      <c r="O41" s="11"/>
      <c r="P41" s="11"/>
      <c r="Q41" s="13"/>
      <c r="S41" s="373"/>
    </row>
    <row r="42" spans="2:20" x14ac:dyDescent="0.25">
      <c r="B42" s="367"/>
      <c r="E42" s="368"/>
      <c r="F42" s="11"/>
      <c r="G42" s="11"/>
      <c r="I42" s="11"/>
      <c r="J42" s="11"/>
      <c r="K42" s="11"/>
      <c r="L42" s="11"/>
      <c r="M42" s="11"/>
      <c r="N42" s="11"/>
      <c r="O42" s="11"/>
      <c r="P42" s="11"/>
      <c r="Q42" s="13"/>
      <c r="S42" s="373"/>
    </row>
    <row r="43" spans="2:20" ht="327.75" customHeight="1" x14ac:dyDescent="0.25">
      <c r="B43" s="367"/>
      <c r="E43" s="368"/>
      <c r="F43" s="11"/>
      <c r="G43" s="11"/>
      <c r="I43" s="11"/>
      <c r="J43" s="11"/>
      <c r="K43" s="11"/>
      <c r="L43" s="11"/>
      <c r="M43" s="11"/>
      <c r="N43" s="11"/>
      <c r="O43" s="11"/>
      <c r="P43" s="11"/>
      <c r="Q43" s="13"/>
      <c r="S43" s="373"/>
    </row>
    <row r="44" spans="2:20" x14ac:dyDescent="0.25">
      <c r="B44" s="367"/>
      <c r="E44" s="368"/>
      <c r="F44" s="11"/>
      <c r="G44" s="11"/>
      <c r="I44" s="11"/>
      <c r="J44" s="11"/>
      <c r="K44" s="11"/>
      <c r="L44" s="11"/>
      <c r="M44" s="11"/>
      <c r="N44" s="11"/>
      <c r="O44" s="11"/>
      <c r="P44" s="11"/>
      <c r="Q44" s="13"/>
      <c r="S44" s="373"/>
    </row>
    <row r="45" spans="2:20" ht="327.75" customHeight="1" x14ac:dyDescent="0.25">
      <c r="B45" s="367"/>
      <c r="E45" s="368"/>
      <c r="F45" s="11"/>
      <c r="G45" s="11"/>
      <c r="I45" s="11"/>
      <c r="J45" s="11"/>
      <c r="K45" s="11"/>
      <c r="L45" s="11"/>
      <c r="M45" s="11"/>
      <c r="N45" s="11"/>
      <c r="O45" s="11"/>
      <c r="P45" s="11"/>
      <c r="Q45" s="13"/>
      <c r="S45" s="373"/>
    </row>
    <row r="46" spans="2:20" x14ac:dyDescent="0.25">
      <c r="B46" s="367"/>
      <c r="E46" s="368"/>
      <c r="F46" s="11"/>
      <c r="G46" s="11"/>
      <c r="I46" s="11"/>
      <c r="J46" s="11"/>
      <c r="K46" s="11"/>
      <c r="L46" s="11"/>
      <c r="M46" s="11"/>
      <c r="N46" s="11"/>
      <c r="O46" s="11"/>
      <c r="P46" s="11"/>
      <c r="Q46" s="13"/>
      <c r="S46" s="373"/>
    </row>
    <row r="47" spans="2:20" ht="327.75" customHeight="1" x14ac:dyDescent="0.25">
      <c r="B47" s="367"/>
      <c r="E47" s="368"/>
      <c r="F47" s="11"/>
      <c r="G47" s="11"/>
      <c r="I47" s="11"/>
      <c r="J47" s="11"/>
      <c r="K47" s="11"/>
      <c r="L47" s="11"/>
      <c r="M47" s="11"/>
      <c r="N47" s="11"/>
      <c r="O47" s="11"/>
      <c r="P47" s="11"/>
      <c r="Q47" s="13"/>
      <c r="S47" s="374"/>
    </row>
    <row r="48" spans="2:20" x14ac:dyDescent="0.25">
      <c r="B48" s="367"/>
      <c r="E48" s="368"/>
      <c r="F48" s="11"/>
      <c r="G48" s="11"/>
      <c r="I48" s="11"/>
      <c r="J48" s="11"/>
      <c r="K48" s="11"/>
      <c r="L48" s="11"/>
      <c r="M48" s="11"/>
      <c r="N48" s="11"/>
      <c r="O48" s="11"/>
      <c r="P48" s="11"/>
      <c r="Q48" s="13"/>
      <c r="S48" s="373"/>
    </row>
    <row r="49" spans="2:19" ht="327.75" customHeight="1" x14ac:dyDescent="0.25">
      <c r="B49" s="367"/>
      <c r="E49" s="368"/>
      <c r="F49" s="11"/>
      <c r="G49" s="11"/>
      <c r="I49" s="11"/>
      <c r="J49" s="11"/>
      <c r="K49" s="11"/>
      <c r="L49" s="11"/>
      <c r="M49" s="11"/>
      <c r="N49" s="11"/>
      <c r="O49" s="11"/>
      <c r="P49" s="11"/>
      <c r="Q49" s="13"/>
      <c r="S49" s="373"/>
    </row>
    <row r="50" spans="2:19" x14ac:dyDescent="0.25">
      <c r="B50" s="367"/>
      <c r="E50" s="368"/>
      <c r="F50" s="11"/>
      <c r="G50" s="11"/>
      <c r="I50" s="11"/>
      <c r="J50" s="11"/>
      <c r="K50" s="11"/>
      <c r="L50" s="11"/>
      <c r="M50" s="11"/>
      <c r="N50" s="11"/>
      <c r="O50" s="11"/>
      <c r="P50" s="11"/>
      <c r="Q50" s="13"/>
      <c r="S50" s="373"/>
    </row>
    <row r="51" spans="2:19" x14ac:dyDescent="0.25">
      <c r="B51" s="367"/>
      <c r="E51" s="368"/>
      <c r="F51" s="11"/>
      <c r="G51" s="11"/>
      <c r="I51" s="11"/>
      <c r="J51" s="11"/>
      <c r="K51" s="11"/>
      <c r="L51" s="11"/>
      <c r="M51" s="11"/>
      <c r="N51" s="11"/>
      <c r="O51" s="11"/>
      <c r="P51" s="11"/>
      <c r="Q51" s="13"/>
      <c r="S51" s="373"/>
    </row>
    <row r="52" spans="2:19" x14ac:dyDescent="0.25">
      <c r="B52" s="367"/>
      <c r="E52" s="368"/>
      <c r="F52" s="11"/>
      <c r="G52" s="11"/>
      <c r="I52" s="11"/>
      <c r="J52" s="11"/>
      <c r="K52" s="11"/>
      <c r="L52" s="11"/>
      <c r="M52" s="11"/>
      <c r="N52" s="11"/>
      <c r="O52" s="11"/>
      <c r="P52" s="11"/>
      <c r="Q52" s="13"/>
      <c r="S52" s="373"/>
    </row>
    <row r="53" spans="2:19" x14ac:dyDescent="0.25">
      <c r="B53" s="367"/>
      <c r="E53" s="368"/>
      <c r="F53" s="11"/>
      <c r="G53" s="11"/>
      <c r="I53" s="11"/>
      <c r="J53" s="11"/>
      <c r="K53" s="11"/>
      <c r="L53" s="11"/>
      <c r="M53" s="11"/>
      <c r="N53" s="11"/>
    </row>
    <row r="54" spans="2:19" x14ac:dyDescent="0.25">
      <c r="B54" s="367"/>
      <c r="E54" s="368"/>
      <c r="F54" s="11"/>
      <c r="G54" s="11"/>
      <c r="I54" s="11"/>
      <c r="J54" s="11"/>
      <c r="K54" s="11"/>
      <c r="L54" s="11"/>
      <c r="M54" s="11"/>
      <c r="N54" s="11"/>
    </row>
    <row r="55" spans="2:19" x14ac:dyDescent="0.25">
      <c r="B55" s="367"/>
      <c r="E55" s="368"/>
      <c r="F55" s="11"/>
      <c r="G55" s="11"/>
      <c r="I55" s="11"/>
      <c r="J55" s="11"/>
      <c r="K55" s="11"/>
      <c r="L55" s="11"/>
      <c r="M55" s="11"/>
      <c r="N55" s="11"/>
      <c r="R55" s="14"/>
    </row>
    <row r="56" spans="2:19" x14ac:dyDescent="0.25">
      <c r="B56" s="367"/>
      <c r="E56" s="368"/>
      <c r="F56" s="11"/>
      <c r="G56" s="11"/>
      <c r="I56" s="11"/>
      <c r="J56" s="11"/>
      <c r="K56" s="11"/>
      <c r="L56" s="11"/>
      <c r="M56" s="11"/>
      <c r="N56" s="11"/>
    </row>
    <row r="57" spans="2:19" x14ac:dyDescent="0.25">
      <c r="B57" s="367"/>
      <c r="E57" s="368"/>
      <c r="F57" s="11"/>
      <c r="G57" s="11"/>
      <c r="I57" s="11"/>
      <c r="J57" s="11"/>
      <c r="K57" s="11"/>
      <c r="L57" s="11"/>
      <c r="M57" s="11"/>
      <c r="N57" s="11"/>
    </row>
    <row r="58" spans="2:19" x14ac:dyDescent="0.25">
      <c r="E58" s="12"/>
      <c r="F58" s="11"/>
      <c r="G58" s="11"/>
      <c r="I58" s="11"/>
      <c r="J58" s="11"/>
      <c r="K58" s="11"/>
      <c r="L58" s="11"/>
      <c r="M58" s="11"/>
      <c r="N58" s="11"/>
    </row>
    <row r="59" spans="2:19" x14ac:dyDescent="0.25">
      <c r="E59" s="12"/>
      <c r="F59" s="11"/>
      <c r="G59" s="11"/>
      <c r="I59" s="11"/>
      <c r="J59" s="11"/>
      <c r="K59" s="11"/>
      <c r="L59" s="11"/>
      <c r="M59" s="11"/>
      <c r="N59" s="11"/>
    </row>
    <row r="60" spans="2:19" x14ac:dyDescent="0.25">
      <c r="E60" s="12"/>
      <c r="F60" s="11"/>
      <c r="G60" s="11"/>
      <c r="I60" s="11"/>
      <c r="J60" s="11"/>
      <c r="K60" s="11"/>
      <c r="L60" s="11"/>
      <c r="M60" s="11"/>
      <c r="N60" s="11"/>
    </row>
    <row r="61" spans="2:19" x14ac:dyDescent="0.25">
      <c r="E61" s="12"/>
      <c r="F61" s="11"/>
      <c r="G61" s="11"/>
      <c r="I61" s="11"/>
      <c r="J61" s="11"/>
      <c r="K61" s="11"/>
      <c r="L61" s="11"/>
      <c r="M61" s="11"/>
      <c r="N61" s="11"/>
    </row>
    <row r="62" spans="2:19" x14ac:dyDescent="0.25">
      <c r="E62" s="12"/>
      <c r="F62" s="11"/>
      <c r="G62" s="11"/>
      <c r="I62" s="11"/>
      <c r="J62" s="11"/>
      <c r="K62" s="11"/>
      <c r="L62" s="11"/>
      <c r="M62" s="11"/>
      <c r="N62" s="11"/>
    </row>
    <row r="63" spans="2:19" x14ac:dyDescent="0.25">
      <c r="E63" s="12"/>
      <c r="F63" s="11"/>
      <c r="G63" s="11"/>
      <c r="I63" s="11"/>
      <c r="J63" s="11"/>
      <c r="K63" s="11"/>
      <c r="L63" s="11"/>
      <c r="M63" s="11"/>
      <c r="N63" s="11"/>
    </row>
    <row r="64" spans="2:19" x14ac:dyDescent="0.25">
      <c r="E64" s="12"/>
      <c r="F64" s="11"/>
      <c r="G64" s="11"/>
      <c r="I64" s="11"/>
      <c r="J64" s="11"/>
      <c r="K64" s="11"/>
      <c r="L64" s="11"/>
      <c r="M64" s="11"/>
      <c r="N64" s="11"/>
    </row>
    <row r="65" spans="5:18" x14ac:dyDescent="0.25">
      <c r="E65" s="12"/>
      <c r="F65" s="11"/>
      <c r="G65" s="11"/>
      <c r="I65" s="11"/>
      <c r="J65" s="11"/>
      <c r="K65" s="11"/>
      <c r="L65" s="11"/>
      <c r="M65" s="11"/>
      <c r="N65" s="11"/>
    </row>
    <row r="66" spans="5:18" x14ac:dyDescent="0.25">
      <c r="E66" s="12"/>
      <c r="F66" s="11"/>
      <c r="G66" s="11"/>
      <c r="I66" s="11"/>
      <c r="J66" s="11"/>
      <c r="K66" s="11"/>
      <c r="L66" s="11"/>
      <c r="M66" s="11"/>
      <c r="N66" s="11"/>
      <c r="R66" s="14"/>
    </row>
    <row r="67" spans="5:18" x14ac:dyDescent="0.25">
      <c r="E67" s="12"/>
      <c r="F67" s="11"/>
      <c r="G67" s="11"/>
      <c r="I67" s="11"/>
      <c r="J67" s="11"/>
      <c r="K67" s="11"/>
      <c r="L67" s="11"/>
      <c r="M67" s="11"/>
      <c r="N67" s="11"/>
    </row>
  </sheetData>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2:K159"/>
  <sheetViews>
    <sheetView workbookViewId="0">
      <selection activeCell="I10" sqref="I10"/>
    </sheetView>
  </sheetViews>
  <sheetFormatPr defaultRowHeight="13.2" x14ac:dyDescent="0.25"/>
  <cols>
    <col min="1" max="1" width="17.33203125" customWidth="1"/>
    <col min="2" max="2" width="12" bestFit="1" customWidth="1"/>
    <col min="8" max="8" width="12.109375" customWidth="1"/>
    <col min="9" max="9" width="12.44140625" bestFit="1" customWidth="1"/>
    <col min="10" max="10" width="15.44140625" customWidth="1"/>
  </cols>
  <sheetData>
    <row r="2" spans="1:11" x14ac:dyDescent="0.25">
      <c r="A2" t="s">
        <v>68</v>
      </c>
      <c r="B2" t="s">
        <v>66</v>
      </c>
      <c r="C2" t="s">
        <v>14</v>
      </c>
      <c r="D2" t="s">
        <v>28</v>
      </c>
      <c r="E2" t="s">
        <v>75</v>
      </c>
    </row>
    <row r="3" spans="1:11" x14ac:dyDescent="0.25">
      <c r="A3" t="s">
        <v>71</v>
      </c>
      <c r="B3">
        <f>Css</f>
        <v>2.0833333333333335E-8</v>
      </c>
      <c r="C3">
        <f>Cout</f>
        <v>88</v>
      </c>
      <c r="D3">
        <f>Cin</f>
        <v>2.2000000000000002</v>
      </c>
      <c r="E3">
        <f>Cb</f>
        <v>0</v>
      </c>
      <c r="H3" t="s">
        <v>73</v>
      </c>
      <c r="I3" t="s">
        <v>74</v>
      </c>
      <c r="J3" s="3" t="s">
        <v>70</v>
      </c>
    </row>
    <row r="4" spans="1:11" ht="13.8" x14ac:dyDescent="0.3">
      <c r="A4" s="6" t="s">
        <v>70</v>
      </c>
      <c r="B4" s="6">
        <f>SUM(B6:B158)/1000000000000</f>
        <v>2.1999999999999998E-8</v>
      </c>
      <c r="C4" s="6">
        <f>SUM(C6:C158)/1000000000000</f>
        <v>0</v>
      </c>
      <c r="D4" s="6">
        <f>SUM(D6:D158)/1000000000000</f>
        <v>2.2000000000000002</v>
      </c>
      <c r="E4" s="6">
        <f t="shared" ref="E4" si="0">IF(E3="OPEN","OPEN",SUM(E6:E158)/1000000000000)</f>
        <v>0</v>
      </c>
      <c r="H4" s="77" t="s">
        <v>139</v>
      </c>
      <c r="I4" t="e">
        <f>Rt</f>
        <v>#NAME?</v>
      </c>
      <c r="J4" s="3" t="e">
        <f t="shared" ref="J4:J9" si="1">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7" t="s">
        <v>136</v>
      </c>
    </row>
    <row r="5" spans="1:11" ht="13.8" x14ac:dyDescent="0.3">
      <c r="A5" t="s">
        <v>69</v>
      </c>
      <c r="J5" s="3"/>
      <c r="K5" s="17"/>
    </row>
    <row r="6" spans="1:11" ht="13.8" x14ac:dyDescent="0.3">
      <c r="A6">
        <v>0.47</v>
      </c>
      <c r="B6">
        <f t="shared" ref="B6:E6" si="2">IF(IF((B$3*10^12-$A7)*(B$3*10^12-$A6)*-1&lt;0,0,1)*IF(ABS(B$3*10^12-$A7)&gt;(B$3*10^12-$A6),$A6,$A7)=B7,0,IF((B$3*10^12-$A7)*(B$3*10^12-$A6)*-1&lt;0,0,1)*IF(ABS(B$3*10^12-$A7)&gt;(B$3*10^12-$A6),$A6,$A7))</f>
        <v>0</v>
      </c>
      <c r="C6">
        <f t="shared" si="2"/>
        <v>0</v>
      </c>
      <c r="D6">
        <f t="shared" si="2"/>
        <v>0</v>
      </c>
      <c r="E6">
        <f t="shared" si="2"/>
        <v>0</v>
      </c>
      <c r="H6" s="77" t="s">
        <v>163</v>
      </c>
      <c r="I6" t="e">
        <f>Rshunt</f>
        <v>#NAME?</v>
      </c>
      <c r="J6" s="3" t="e">
        <f t="shared" si="1"/>
        <v>#NAME?</v>
      </c>
      <c r="K6" s="17" t="s">
        <v>136</v>
      </c>
    </row>
    <row r="7" spans="1:11" ht="13.8" x14ac:dyDescent="0.3">
      <c r="A7">
        <v>0.56000000000000005</v>
      </c>
      <c r="B7">
        <f t="shared" ref="B7:B70" si="3">IF(IF((B$3*10^12-$A8)*(B$3*10^12-$A7)*-1&lt;0,0,1)*IF(ABS(B$3*10^12-$A8)&gt;(B$3*10^12-$A7),$A7,$A8)=B8,0,IF((B$3*10^12-$A8)*(B$3*10^12-$A7)*-1&lt;0,0,1)*IF(ABS(B$3*10^12-$A8)&gt;(B$3*10^12-$A7),$A7,$A8))</f>
        <v>0</v>
      </c>
      <c r="C7">
        <f t="shared" ref="C7:C69" si="4">IF(IF((C$3*10^12-$A8)*(C$3*10^12-$A7)*-1&lt;0,0,1)*IF(ABS(C$3*10^12-$A8)&gt;(C$3*10^12-$A7),$A7,$A8)=C8,0,IF((C$3*10^12-$A8)*(C$3*10^12-$A7)*-1&lt;0,0,1)*IF(ABS(C$3*10^12-$A8)&gt;(C$3*10^12-$A7),$A7,$A8))</f>
        <v>0</v>
      </c>
      <c r="D7">
        <f t="shared" ref="D7:D69" si="5">IF(IF((D$3*10^12-$A8)*(D$3*10^12-$A7)*-1&lt;0,0,1)*IF(ABS(D$3*10^12-$A8)&gt;(D$3*10^12-$A7),$A7,$A8)=D8,0,IF((D$3*10^12-$A8)*(D$3*10^12-$A7)*-1&lt;0,0,1)*IF(ABS(D$3*10^12-$A8)&gt;(D$3*10^12-$A7),$A7,$A8))</f>
        <v>0</v>
      </c>
      <c r="E7">
        <f t="shared" ref="E7:E37" si="6">IF(IF((E$3*10^12-$A8)*(E$3*10^12-$A7)*-1&lt;0,0,1)*IF(ABS(E$3*10^12-$A8)&gt;(E$3*10^12-$A7),$A7,$A8)=E8,0,IF((E$3*10^12-$A8)*(E$3*10^12-$A7)*-1&lt;0,0,1)*IF(ABS(E$3*10^12-$A8)&gt;(E$3*10^12-$A7),$A7,$A8))</f>
        <v>0</v>
      </c>
      <c r="H7" t="s">
        <v>79</v>
      </c>
      <c r="I7" t="e">
        <f>Rcea1</f>
        <v>#NAME?</v>
      </c>
      <c r="J7" s="3" t="e">
        <f t="shared" si="1"/>
        <v>#NAME?</v>
      </c>
      <c r="K7" s="17" t="s">
        <v>136</v>
      </c>
    </row>
    <row r="8" spans="1:11" ht="13.8" x14ac:dyDescent="0.3">
      <c r="A8">
        <v>0.68</v>
      </c>
      <c r="B8">
        <f t="shared" si="3"/>
        <v>0</v>
      </c>
      <c r="C8">
        <f t="shared" si="4"/>
        <v>0</v>
      </c>
      <c r="D8">
        <f t="shared" si="5"/>
        <v>0</v>
      </c>
      <c r="E8">
        <f t="shared" si="6"/>
        <v>0</v>
      </c>
      <c r="J8" s="3"/>
      <c r="K8" s="17"/>
    </row>
    <row r="9" spans="1:11" ht="13.8" x14ac:dyDescent="0.3">
      <c r="A9">
        <v>0.82</v>
      </c>
      <c r="B9">
        <f t="shared" si="3"/>
        <v>0</v>
      </c>
      <c r="C9">
        <f t="shared" si="4"/>
        <v>0</v>
      </c>
      <c r="D9">
        <f t="shared" si="5"/>
        <v>0</v>
      </c>
      <c r="E9">
        <f t="shared" si="6"/>
        <v>0</v>
      </c>
      <c r="H9" t="s">
        <v>389</v>
      </c>
      <c r="I9">
        <f>RTC_1</f>
        <v>187500</v>
      </c>
      <c r="J9" s="3">
        <f t="shared" si="1"/>
        <v>187000</v>
      </c>
      <c r="K9" s="17" t="s">
        <v>136</v>
      </c>
    </row>
    <row r="10" spans="1:11" ht="13.8" x14ac:dyDescent="0.3">
      <c r="A10">
        <v>1</v>
      </c>
      <c r="B10">
        <f t="shared" si="3"/>
        <v>0</v>
      </c>
      <c r="C10">
        <f t="shared" si="4"/>
        <v>0</v>
      </c>
      <c r="D10">
        <f t="shared" si="5"/>
        <v>0</v>
      </c>
      <c r="E10">
        <f t="shared" si="6"/>
        <v>0</v>
      </c>
      <c r="H10" t="s">
        <v>17</v>
      </c>
      <c r="I10">
        <f>Rfb</f>
        <v>150000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150000</v>
      </c>
      <c r="K10" s="17" t="s">
        <v>136</v>
      </c>
    </row>
    <row r="11" spans="1:11" x14ac:dyDescent="0.25">
      <c r="A11">
        <v>1.2</v>
      </c>
      <c r="B11">
        <f t="shared" si="3"/>
        <v>0</v>
      </c>
      <c r="C11">
        <f t="shared" si="4"/>
        <v>0</v>
      </c>
      <c r="D11">
        <f t="shared" si="5"/>
        <v>0</v>
      </c>
      <c r="E11">
        <f t="shared" si="6"/>
        <v>0</v>
      </c>
      <c r="J11" s="3"/>
    </row>
    <row r="12" spans="1:11" x14ac:dyDescent="0.25">
      <c r="A12">
        <v>1.5</v>
      </c>
      <c r="B12">
        <f t="shared" si="3"/>
        <v>0</v>
      </c>
      <c r="C12">
        <f t="shared" si="4"/>
        <v>0</v>
      </c>
      <c r="D12">
        <f t="shared" si="5"/>
        <v>0</v>
      </c>
      <c r="E12">
        <f t="shared" si="6"/>
        <v>0</v>
      </c>
      <c r="J12" s="3"/>
    </row>
    <row r="13" spans="1:11" ht="13.8" x14ac:dyDescent="0.3">
      <c r="A13">
        <v>1.8</v>
      </c>
      <c r="B13">
        <f t="shared" si="3"/>
        <v>0</v>
      </c>
      <c r="C13">
        <f t="shared" si="4"/>
        <v>0</v>
      </c>
      <c r="D13">
        <f t="shared" si="5"/>
        <v>0</v>
      </c>
      <c r="E13">
        <f t="shared" si="6"/>
        <v>0</v>
      </c>
      <c r="H13" s="77" t="s">
        <v>76</v>
      </c>
      <c r="I13" t="e">
        <f>Rs_ideal*1000</f>
        <v>#NAME?</v>
      </c>
      <c r="J13" s="3" t="e">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#NAME?</v>
      </c>
      <c r="K13" s="17" t="s">
        <v>162</v>
      </c>
    </row>
    <row r="14" spans="1:11" x14ac:dyDescent="0.25">
      <c r="A14">
        <v>2.2000000000000002</v>
      </c>
      <c r="B14">
        <f t="shared" ref="B14:E14" si="7">IF(IF((B$3*10^12-$A15)*(B$3*10^12-$A14)*-1&lt;0,0,1)*IF(ABS(B$3*10^12-$A15)&gt;(B$3*10^12-$A14),$A14,$A15)=B15,0,IF((B$3*10^12-$A15)*(B$3*10^12-$A14)*-1&lt;0,0,1)*IF(ABS(B$3*10^12-$A15)&gt;(B$3*10^12-$A14),$A14,$A15))</f>
        <v>0</v>
      </c>
      <c r="C14">
        <f t="shared" si="7"/>
        <v>0</v>
      </c>
      <c r="D14">
        <f t="shared" si="7"/>
        <v>0</v>
      </c>
      <c r="E14">
        <f t="shared" si="7"/>
        <v>0</v>
      </c>
      <c r="H14" s="77" t="s">
        <v>161</v>
      </c>
      <c r="I14" t="e">
        <f>Cslope_ideal</f>
        <v>#NAME?</v>
      </c>
      <c r="J14" t="e">
        <f>#REF!*1000000000000</f>
        <v>#REF!</v>
      </c>
      <c r="K14" s="77" t="s">
        <v>15</v>
      </c>
    </row>
    <row r="15" spans="1:11" x14ac:dyDescent="0.25">
      <c r="A15">
        <v>2.7</v>
      </c>
      <c r="B15">
        <f t="shared" si="3"/>
        <v>0</v>
      </c>
      <c r="C15">
        <f t="shared" si="4"/>
        <v>0</v>
      </c>
      <c r="D15">
        <f t="shared" si="5"/>
        <v>0</v>
      </c>
      <c r="E15">
        <f t="shared" si="6"/>
        <v>0</v>
      </c>
    </row>
    <row r="16" spans="1:11" ht="13.8" x14ac:dyDescent="0.3">
      <c r="A16">
        <v>3.3</v>
      </c>
      <c r="B16">
        <f t="shared" si="3"/>
        <v>0</v>
      </c>
      <c r="C16">
        <f t="shared" si="4"/>
        <v>0</v>
      </c>
      <c r="D16">
        <f t="shared" si="5"/>
        <v>0</v>
      </c>
      <c r="E16">
        <f t="shared" si="6"/>
        <v>0</v>
      </c>
      <c r="H16" s="77" t="s">
        <v>130</v>
      </c>
      <c r="I16">
        <f>Ruvlo1</f>
        <v>536.66666666666674</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536</v>
      </c>
      <c r="K16" s="17" t="s">
        <v>113</v>
      </c>
    </row>
    <row r="17" spans="1:11" ht="13.8" x14ac:dyDescent="0.3">
      <c r="A17">
        <v>3.9</v>
      </c>
      <c r="B17">
        <f t="shared" si="3"/>
        <v>0</v>
      </c>
      <c r="C17">
        <f t="shared" si="4"/>
        <v>0</v>
      </c>
      <c r="D17">
        <f t="shared" si="5"/>
        <v>0</v>
      </c>
      <c r="E17">
        <f t="shared" si="6"/>
        <v>0</v>
      </c>
      <c r="H17" s="77" t="s">
        <v>131</v>
      </c>
      <c r="I17" s="180">
        <f>Ruvlo2</f>
        <v>100.5</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100</v>
      </c>
      <c r="K17" s="17" t="s">
        <v>113</v>
      </c>
    </row>
    <row r="18" spans="1:11" ht="13.8" x14ac:dyDescent="0.3">
      <c r="A18">
        <v>4.7</v>
      </c>
      <c r="B18">
        <f t="shared" si="3"/>
        <v>0</v>
      </c>
      <c r="C18">
        <f t="shared" si="4"/>
        <v>0</v>
      </c>
      <c r="D18">
        <f t="shared" si="5"/>
        <v>0</v>
      </c>
      <c r="E18">
        <f t="shared" si="6"/>
        <v>0</v>
      </c>
      <c r="H18" s="77" t="s">
        <v>297</v>
      </c>
      <c r="I18" s="180"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7" t="s">
        <v>113</v>
      </c>
    </row>
    <row r="19" spans="1:11" x14ac:dyDescent="0.25">
      <c r="A19">
        <v>5.6</v>
      </c>
      <c r="B19">
        <f t="shared" si="3"/>
        <v>0</v>
      </c>
      <c r="C19">
        <f t="shared" si="4"/>
        <v>0</v>
      </c>
      <c r="D19">
        <f t="shared" si="5"/>
        <v>0</v>
      </c>
      <c r="E19">
        <f t="shared" si="6"/>
        <v>0</v>
      </c>
    </row>
    <row r="20" spans="1:11" x14ac:dyDescent="0.25">
      <c r="A20">
        <v>6.8</v>
      </c>
      <c r="B20">
        <f t="shared" si="3"/>
        <v>0</v>
      </c>
      <c r="C20">
        <f t="shared" si="4"/>
        <v>0</v>
      </c>
      <c r="D20">
        <f t="shared" si="5"/>
        <v>0</v>
      </c>
      <c r="E20">
        <f t="shared" si="6"/>
        <v>0</v>
      </c>
      <c r="H20" s="77"/>
      <c r="J20" s="3"/>
    </row>
    <row r="21" spans="1:11" x14ac:dyDescent="0.25">
      <c r="A21">
        <v>8.1999999999999993</v>
      </c>
      <c r="B21">
        <f t="shared" si="3"/>
        <v>0</v>
      </c>
      <c r="C21">
        <f t="shared" si="4"/>
        <v>0</v>
      </c>
      <c r="D21">
        <f t="shared" si="5"/>
        <v>0</v>
      </c>
      <c r="E21">
        <f t="shared" si="6"/>
        <v>0</v>
      </c>
      <c r="J21" s="3"/>
    </row>
    <row r="22" spans="1:11" ht="13.8" x14ac:dyDescent="0.3">
      <c r="A22">
        <v>10</v>
      </c>
      <c r="B22">
        <f t="shared" si="3"/>
        <v>0</v>
      </c>
      <c r="C22">
        <f t="shared" si="4"/>
        <v>0</v>
      </c>
      <c r="D22">
        <f t="shared" si="5"/>
        <v>0</v>
      </c>
      <c r="E22">
        <f t="shared" si="6"/>
        <v>0</v>
      </c>
      <c r="H22" s="77"/>
      <c r="J22" s="3"/>
      <c r="K22" s="17"/>
    </row>
    <row r="23" spans="1:11" x14ac:dyDescent="0.25">
      <c r="A23">
        <v>12</v>
      </c>
      <c r="B23">
        <f t="shared" si="3"/>
        <v>0</v>
      </c>
      <c r="C23">
        <f t="shared" si="4"/>
        <v>0</v>
      </c>
      <c r="D23">
        <f t="shared" si="5"/>
        <v>0</v>
      </c>
      <c r="E23">
        <f t="shared" si="6"/>
        <v>0</v>
      </c>
    </row>
    <row r="24" spans="1:11" x14ac:dyDescent="0.25">
      <c r="A24">
        <v>15</v>
      </c>
      <c r="B24">
        <f t="shared" si="3"/>
        <v>0</v>
      </c>
      <c r="C24">
        <f t="shared" si="4"/>
        <v>0</v>
      </c>
      <c r="D24">
        <f t="shared" si="5"/>
        <v>0</v>
      </c>
      <c r="E24">
        <f t="shared" si="6"/>
        <v>0</v>
      </c>
      <c r="J24" s="3"/>
    </row>
    <row r="25" spans="1:11" ht="13.8" x14ac:dyDescent="0.3">
      <c r="A25">
        <v>18</v>
      </c>
      <c r="B25">
        <f t="shared" si="3"/>
        <v>0</v>
      </c>
      <c r="C25">
        <f t="shared" si="4"/>
        <v>0</v>
      </c>
      <c r="D25">
        <f t="shared" si="5"/>
        <v>0</v>
      </c>
      <c r="E25">
        <f t="shared" si="6"/>
        <v>0</v>
      </c>
      <c r="H25" s="77"/>
      <c r="J25" s="3"/>
      <c r="K25" s="17"/>
    </row>
    <row r="26" spans="1:11" x14ac:dyDescent="0.25">
      <c r="A26">
        <v>22</v>
      </c>
      <c r="B26">
        <f t="shared" si="3"/>
        <v>0</v>
      </c>
      <c r="C26">
        <f t="shared" si="4"/>
        <v>0</v>
      </c>
      <c r="D26">
        <f t="shared" si="5"/>
        <v>0</v>
      </c>
      <c r="E26">
        <f t="shared" si="6"/>
        <v>0</v>
      </c>
    </row>
    <row r="27" spans="1:11" x14ac:dyDescent="0.25">
      <c r="A27">
        <v>27</v>
      </c>
      <c r="B27">
        <f t="shared" si="3"/>
        <v>0</v>
      </c>
      <c r="C27">
        <f t="shared" si="4"/>
        <v>0</v>
      </c>
      <c r="D27">
        <f t="shared" si="5"/>
        <v>0</v>
      </c>
      <c r="E27">
        <f t="shared" si="6"/>
        <v>0</v>
      </c>
    </row>
    <row r="28" spans="1:11" ht="13.8" x14ac:dyDescent="0.3">
      <c r="A28">
        <v>33</v>
      </c>
      <c r="B28">
        <f t="shared" si="3"/>
        <v>0</v>
      </c>
      <c r="C28">
        <f t="shared" si="4"/>
        <v>0</v>
      </c>
      <c r="D28">
        <f t="shared" si="5"/>
        <v>0</v>
      </c>
      <c r="E28">
        <f t="shared" si="6"/>
        <v>0</v>
      </c>
      <c r="H28" s="4"/>
      <c r="K28" s="17"/>
    </row>
    <row r="29" spans="1:11" x14ac:dyDescent="0.25">
      <c r="A29">
        <v>39</v>
      </c>
      <c r="B29">
        <f t="shared" si="3"/>
        <v>0</v>
      </c>
      <c r="C29">
        <f t="shared" si="4"/>
        <v>0</v>
      </c>
      <c r="D29">
        <f t="shared" si="5"/>
        <v>0</v>
      </c>
      <c r="E29">
        <f t="shared" si="6"/>
        <v>0</v>
      </c>
      <c r="H29" s="4"/>
      <c r="K29" s="77"/>
    </row>
    <row r="30" spans="1:11" x14ac:dyDescent="0.25">
      <c r="A30">
        <v>47</v>
      </c>
      <c r="B30">
        <f t="shared" si="3"/>
        <v>0</v>
      </c>
      <c r="C30">
        <f t="shared" si="4"/>
        <v>0</v>
      </c>
      <c r="D30">
        <f t="shared" si="5"/>
        <v>0</v>
      </c>
      <c r="E30">
        <f t="shared" si="6"/>
        <v>0</v>
      </c>
      <c r="H30" s="4"/>
      <c r="K30" s="77"/>
    </row>
    <row r="31" spans="1:11" ht="13.8" x14ac:dyDescent="0.3">
      <c r="A31">
        <v>56</v>
      </c>
      <c r="B31">
        <f t="shared" si="3"/>
        <v>0</v>
      </c>
      <c r="C31">
        <f t="shared" si="4"/>
        <v>0</v>
      </c>
      <c r="D31">
        <f t="shared" si="5"/>
        <v>0</v>
      </c>
      <c r="E31">
        <f t="shared" si="6"/>
        <v>0</v>
      </c>
      <c r="H31" s="4"/>
      <c r="K31" s="17"/>
    </row>
    <row r="32" spans="1:11" x14ac:dyDescent="0.25">
      <c r="A32">
        <v>68</v>
      </c>
      <c r="B32">
        <f t="shared" si="3"/>
        <v>0</v>
      </c>
      <c r="C32">
        <f t="shared" si="4"/>
        <v>0</v>
      </c>
      <c r="D32">
        <f t="shared" si="5"/>
        <v>0</v>
      </c>
      <c r="E32">
        <f t="shared" si="6"/>
        <v>0</v>
      </c>
      <c r="H32" s="4"/>
      <c r="K32" s="77"/>
    </row>
    <row r="33" spans="1:8" x14ac:dyDescent="0.25">
      <c r="A33">
        <v>82</v>
      </c>
      <c r="B33">
        <f t="shared" si="3"/>
        <v>0</v>
      </c>
      <c r="C33">
        <f t="shared" si="4"/>
        <v>0</v>
      </c>
      <c r="D33">
        <f t="shared" si="5"/>
        <v>0</v>
      </c>
      <c r="E33">
        <f t="shared" si="6"/>
        <v>0</v>
      </c>
    </row>
    <row r="34" spans="1:8" x14ac:dyDescent="0.25">
      <c r="A34">
        <f>A22*10</f>
        <v>100</v>
      </c>
      <c r="B34">
        <f t="shared" si="3"/>
        <v>0</v>
      </c>
      <c r="C34">
        <f t="shared" si="4"/>
        <v>0</v>
      </c>
      <c r="D34">
        <f t="shared" si="5"/>
        <v>0</v>
      </c>
      <c r="E34">
        <f t="shared" si="6"/>
        <v>0</v>
      </c>
      <c r="H34" s="77"/>
    </row>
    <row r="35" spans="1:8" x14ac:dyDescent="0.25">
      <c r="A35">
        <f t="shared" ref="A35:A98" si="8">A23*10</f>
        <v>120</v>
      </c>
      <c r="B35">
        <f t="shared" si="3"/>
        <v>0</v>
      </c>
      <c r="C35">
        <f t="shared" si="4"/>
        <v>0</v>
      </c>
      <c r="D35">
        <f t="shared" si="5"/>
        <v>0</v>
      </c>
      <c r="E35">
        <f t="shared" si="6"/>
        <v>0</v>
      </c>
      <c r="H35" s="77"/>
    </row>
    <row r="36" spans="1:8" x14ac:dyDescent="0.25">
      <c r="A36">
        <f t="shared" si="8"/>
        <v>150</v>
      </c>
      <c r="B36">
        <f t="shared" si="3"/>
        <v>0</v>
      </c>
      <c r="C36">
        <f t="shared" si="4"/>
        <v>0</v>
      </c>
      <c r="D36">
        <f t="shared" si="5"/>
        <v>0</v>
      </c>
      <c r="E36">
        <f t="shared" si="6"/>
        <v>0</v>
      </c>
    </row>
    <row r="37" spans="1:8" x14ac:dyDescent="0.25">
      <c r="A37">
        <f t="shared" si="8"/>
        <v>180</v>
      </c>
      <c r="B37">
        <f t="shared" si="3"/>
        <v>0</v>
      </c>
      <c r="C37">
        <f t="shared" si="4"/>
        <v>0</v>
      </c>
      <c r="D37">
        <f t="shared" si="5"/>
        <v>0</v>
      </c>
      <c r="E37">
        <f t="shared" si="6"/>
        <v>0</v>
      </c>
    </row>
    <row r="38" spans="1:8" x14ac:dyDescent="0.25">
      <c r="A38">
        <f t="shared" si="8"/>
        <v>220</v>
      </c>
      <c r="B38">
        <f t="shared" si="3"/>
        <v>0</v>
      </c>
      <c r="C38">
        <f t="shared" si="4"/>
        <v>0</v>
      </c>
      <c r="D38">
        <f t="shared" si="5"/>
        <v>0</v>
      </c>
      <c r="E38">
        <f t="shared" ref="E38:E69" si="9">IF(IF((E$3*10^12-$A39)*(E$3*10^12-$A38)*-1&lt;0,0,1)*IF(ABS(E$3*10^12-$A39)&gt;(E$3*10^12-$A38),$A38,$A39)=E39,0,IF((E$3*10^12-$A39)*(E$3*10^12-$A38)*-1&lt;0,0,1)*IF(ABS(E$3*10^12-$A39)&gt;(E$3*10^12-$A38),$A38,$A39))</f>
        <v>0</v>
      </c>
    </row>
    <row r="39" spans="1:8" x14ac:dyDescent="0.25">
      <c r="A39">
        <f t="shared" si="8"/>
        <v>270</v>
      </c>
      <c r="B39">
        <f t="shared" si="3"/>
        <v>0</v>
      </c>
      <c r="C39">
        <f t="shared" si="4"/>
        <v>0</v>
      </c>
      <c r="D39">
        <f t="shared" si="5"/>
        <v>0</v>
      </c>
      <c r="E39">
        <f t="shared" si="9"/>
        <v>0</v>
      </c>
    </row>
    <row r="40" spans="1:8" x14ac:dyDescent="0.25">
      <c r="A40">
        <f t="shared" si="8"/>
        <v>330</v>
      </c>
      <c r="B40">
        <f t="shared" si="3"/>
        <v>0</v>
      </c>
      <c r="C40">
        <f t="shared" si="4"/>
        <v>0</v>
      </c>
      <c r="D40">
        <f t="shared" si="5"/>
        <v>0</v>
      </c>
      <c r="E40">
        <f t="shared" si="9"/>
        <v>0</v>
      </c>
    </row>
    <row r="41" spans="1:8" x14ac:dyDescent="0.25">
      <c r="A41">
        <f t="shared" si="8"/>
        <v>390</v>
      </c>
      <c r="B41">
        <f t="shared" si="3"/>
        <v>0</v>
      </c>
      <c r="C41">
        <f t="shared" si="4"/>
        <v>0</v>
      </c>
      <c r="D41">
        <f t="shared" si="5"/>
        <v>0</v>
      </c>
      <c r="E41">
        <f t="shared" si="9"/>
        <v>0</v>
      </c>
    </row>
    <row r="42" spans="1:8" x14ac:dyDescent="0.25">
      <c r="A42">
        <f t="shared" si="8"/>
        <v>470</v>
      </c>
      <c r="B42">
        <f t="shared" si="3"/>
        <v>0</v>
      </c>
      <c r="C42">
        <f t="shared" si="4"/>
        <v>0</v>
      </c>
      <c r="D42">
        <f t="shared" si="5"/>
        <v>0</v>
      </c>
      <c r="E42">
        <f t="shared" si="9"/>
        <v>0</v>
      </c>
    </row>
    <row r="43" spans="1:8" x14ac:dyDescent="0.25">
      <c r="A43">
        <f t="shared" si="8"/>
        <v>560</v>
      </c>
      <c r="B43">
        <f t="shared" si="3"/>
        <v>0</v>
      </c>
      <c r="C43">
        <f t="shared" si="4"/>
        <v>0</v>
      </c>
      <c r="D43">
        <f t="shared" si="5"/>
        <v>0</v>
      </c>
      <c r="E43">
        <f t="shared" si="9"/>
        <v>0</v>
      </c>
    </row>
    <row r="44" spans="1:8" x14ac:dyDescent="0.25">
      <c r="A44">
        <f t="shared" si="8"/>
        <v>680</v>
      </c>
      <c r="B44">
        <f t="shared" si="3"/>
        <v>0</v>
      </c>
      <c r="C44">
        <f t="shared" si="4"/>
        <v>0</v>
      </c>
      <c r="D44">
        <f t="shared" si="5"/>
        <v>0</v>
      </c>
      <c r="E44">
        <f t="shared" si="9"/>
        <v>0</v>
      </c>
    </row>
    <row r="45" spans="1:8" x14ac:dyDescent="0.25">
      <c r="A45">
        <f>A33*10</f>
        <v>820</v>
      </c>
      <c r="B45">
        <f t="shared" si="3"/>
        <v>0</v>
      </c>
      <c r="C45">
        <f t="shared" si="4"/>
        <v>0</v>
      </c>
      <c r="D45">
        <f t="shared" si="5"/>
        <v>0</v>
      </c>
      <c r="E45">
        <f t="shared" si="9"/>
        <v>0</v>
      </c>
    </row>
    <row r="46" spans="1:8" x14ac:dyDescent="0.25">
      <c r="A46">
        <f t="shared" si="8"/>
        <v>1000</v>
      </c>
      <c r="B46">
        <f t="shared" si="3"/>
        <v>0</v>
      </c>
      <c r="C46">
        <f t="shared" si="4"/>
        <v>0</v>
      </c>
      <c r="D46">
        <f t="shared" si="5"/>
        <v>0</v>
      </c>
      <c r="E46">
        <f t="shared" si="9"/>
        <v>0</v>
      </c>
    </row>
    <row r="47" spans="1:8" x14ac:dyDescent="0.25">
      <c r="A47">
        <f t="shared" si="8"/>
        <v>1200</v>
      </c>
      <c r="B47">
        <f t="shared" si="3"/>
        <v>0</v>
      </c>
      <c r="C47">
        <f t="shared" si="4"/>
        <v>0</v>
      </c>
      <c r="D47">
        <f t="shared" si="5"/>
        <v>0</v>
      </c>
      <c r="E47">
        <f t="shared" si="9"/>
        <v>0</v>
      </c>
    </row>
    <row r="48" spans="1:8" x14ac:dyDescent="0.25">
      <c r="A48">
        <f t="shared" si="8"/>
        <v>1500</v>
      </c>
      <c r="B48">
        <f t="shared" si="3"/>
        <v>0</v>
      </c>
      <c r="C48">
        <f t="shared" si="4"/>
        <v>0</v>
      </c>
      <c r="D48">
        <f t="shared" si="5"/>
        <v>0</v>
      </c>
      <c r="E48">
        <f t="shared" si="9"/>
        <v>0</v>
      </c>
    </row>
    <row r="49" spans="1:5" x14ac:dyDescent="0.25">
      <c r="A49">
        <f t="shared" si="8"/>
        <v>1800</v>
      </c>
      <c r="B49">
        <f t="shared" si="3"/>
        <v>0</v>
      </c>
      <c r="C49">
        <f t="shared" si="4"/>
        <v>0</v>
      </c>
      <c r="D49">
        <f t="shared" si="5"/>
        <v>0</v>
      </c>
      <c r="E49">
        <f t="shared" si="9"/>
        <v>0</v>
      </c>
    </row>
    <row r="50" spans="1:5" x14ac:dyDescent="0.25">
      <c r="A50">
        <f t="shared" si="8"/>
        <v>2200</v>
      </c>
      <c r="B50">
        <f t="shared" si="3"/>
        <v>0</v>
      </c>
      <c r="C50">
        <f t="shared" si="4"/>
        <v>0</v>
      </c>
      <c r="D50">
        <f t="shared" si="5"/>
        <v>0</v>
      </c>
      <c r="E50">
        <f t="shared" si="9"/>
        <v>0</v>
      </c>
    </row>
    <row r="51" spans="1:5" x14ac:dyDescent="0.25">
      <c r="A51">
        <f t="shared" si="8"/>
        <v>2700</v>
      </c>
      <c r="B51">
        <f t="shared" si="3"/>
        <v>0</v>
      </c>
      <c r="C51">
        <f t="shared" si="4"/>
        <v>0</v>
      </c>
      <c r="D51">
        <f t="shared" si="5"/>
        <v>0</v>
      </c>
      <c r="E51">
        <f t="shared" si="9"/>
        <v>0</v>
      </c>
    </row>
    <row r="52" spans="1:5" x14ac:dyDescent="0.25">
      <c r="A52">
        <f t="shared" si="8"/>
        <v>3300</v>
      </c>
      <c r="B52">
        <f t="shared" si="3"/>
        <v>0</v>
      </c>
      <c r="C52">
        <f t="shared" si="4"/>
        <v>0</v>
      </c>
      <c r="D52">
        <f t="shared" si="5"/>
        <v>0</v>
      </c>
      <c r="E52">
        <f t="shared" si="9"/>
        <v>0</v>
      </c>
    </row>
    <row r="53" spans="1:5" x14ac:dyDescent="0.25">
      <c r="A53">
        <f t="shared" si="8"/>
        <v>3900</v>
      </c>
      <c r="B53">
        <f t="shared" si="3"/>
        <v>0</v>
      </c>
      <c r="C53">
        <f t="shared" si="4"/>
        <v>0</v>
      </c>
      <c r="D53">
        <f t="shared" si="5"/>
        <v>0</v>
      </c>
      <c r="E53">
        <f t="shared" si="9"/>
        <v>0</v>
      </c>
    </row>
    <row r="54" spans="1:5" x14ac:dyDescent="0.25">
      <c r="A54">
        <f t="shared" si="8"/>
        <v>4700</v>
      </c>
      <c r="B54">
        <f t="shared" si="3"/>
        <v>0</v>
      </c>
      <c r="C54">
        <f t="shared" si="4"/>
        <v>0</v>
      </c>
      <c r="D54">
        <f t="shared" si="5"/>
        <v>0</v>
      </c>
      <c r="E54">
        <f t="shared" si="9"/>
        <v>0</v>
      </c>
    </row>
    <row r="55" spans="1:5" x14ac:dyDescent="0.25">
      <c r="A55">
        <f t="shared" si="8"/>
        <v>5600</v>
      </c>
      <c r="B55">
        <f t="shared" si="3"/>
        <v>0</v>
      </c>
      <c r="C55">
        <f t="shared" si="4"/>
        <v>0</v>
      </c>
      <c r="D55">
        <f t="shared" si="5"/>
        <v>0</v>
      </c>
      <c r="E55">
        <f t="shared" si="9"/>
        <v>0</v>
      </c>
    </row>
    <row r="56" spans="1:5" x14ac:dyDescent="0.25">
      <c r="A56">
        <f t="shared" si="8"/>
        <v>6800</v>
      </c>
      <c r="B56">
        <f t="shared" si="3"/>
        <v>0</v>
      </c>
      <c r="C56">
        <f t="shared" si="4"/>
        <v>0</v>
      </c>
      <c r="D56">
        <f t="shared" si="5"/>
        <v>0</v>
      </c>
      <c r="E56">
        <f t="shared" si="9"/>
        <v>0</v>
      </c>
    </row>
    <row r="57" spans="1:5" x14ac:dyDescent="0.25">
      <c r="A57">
        <f t="shared" si="8"/>
        <v>8200</v>
      </c>
      <c r="B57">
        <f t="shared" si="3"/>
        <v>0</v>
      </c>
      <c r="C57">
        <f t="shared" si="4"/>
        <v>0</v>
      </c>
      <c r="D57">
        <f t="shared" si="5"/>
        <v>0</v>
      </c>
      <c r="E57">
        <f t="shared" si="9"/>
        <v>0</v>
      </c>
    </row>
    <row r="58" spans="1:5" x14ac:dyDescent="0.25">
      <c r="A58">
        <f t="shared" si="8"/>
        <v>10000</v>
      </c>
      <c r="B58">
        <f t="shared" si="3"/>
        <v>0</v>
      </c>
      <c r="C58">
        <f t="shared" si="4"/>
        <v>0</v>
      </c>
      <c r="D58">
        <f t="shared" si="5"/>
        <v>0</v>
      </c>
      <c r="E58">
        <f t="shared" si="9"/>
        <v>0</v>
      </c>
    </row>
    <row r="59" spans="1:5" x14ac:dyDescent="0.25">
      <c r="A59">
        <f t="shared" si="8"/>
        <v>12000</v>
      </c>
      <c r="B59">
        <f t="shared" si="3"/>
        <v>0</v>
      </c>
      <c r="C59">
        <f t="shared" si="4"/>
        <v>0</v>
      </c>
      <c r="D59">
        <f t="shared" si="5"/>
        <v>0</v>
      </c>
      <c r="E59">
        <f t="shared" si="9"/>
        <v>0</v>
      </c>
    </row>
    <row r="60" spans="1:5" x14ac:dyDescent="0.25">
      <c r="A60">
        <f t="shared" si="8"/>
        <v>15000</v>
      </c>
      <c r="B60">
        <f t="shared" si="3"/>
        <v>0</v>
      </c>
      <c r="C60">
        <f t="shared" si="4"/>
        <v>0</v>
      </c>
      <c r="D60">
        <f t="shared" si="5"/>
        <v>0</v>
      </c>
      <c r="E60">
        <f t="shared" si="9"/>
        <v>0</v>
      </c>
    </row>
    <row r="61" spans="1:5" x14ac:dyDescent="0.25">
      <c r="A61">
        <f t="shared" si="8"/>
        <v>18000</v>
      </c>
      <c r="B61">
        <f t="shared" si="3"/>
        <v>22000</v>
      </c>
      <c r="C61">
        <f t="shared" si="4"/>
        <v>0</v>
      </c>
      <c r="D61">
        <f t="shared" si="5"/>
        <v>0</v>
      </c>
      <c r="E61">
        <f t="shared" si="9"/>
        <v>0</v>
      </c>
    </row>
    <row r="62" spans="1:5" x14ac:dyDescent="0.25">
      <c r="A62">
        <f t="shared" si="8"/>
        <v>22000</v>
      </c>
      <c r="B62">
        <f t="shared" si="3"/>
        <v>0</v>
      </c>
      <c r="C62">
        <f t="shared" si="4"/>
        <v>0</v>
      </c>
      <c r="D62">
        <f t="shared" si="5"/>
        <v>0</v>
      </c>
      <c r="E62">
        <f t="shared" si="9"/>
        <v>0</v>
      </c>
    </row>
    <row r="63" spans="1:5" x14ac:dyDescent="0.25">
      <c r="A63">
        <f t="shared" si="8"/>
        <v>27000</v>
      </c>
      <c r="B63">
        <f t="shared" si="3"/>
        <v>0</v>
      </c>
      <c r="C63">
        <f t="shared" si="4"/>
        <v>0</v>
      </c>
      <c r="D63">
        <f t="shared" si="5"/>
        <v>0</v>
      </c>
      <c r="E63">
        <f t="shared" si="9"/>
        <v>0</v>
      </c>
    </row>
    <row r="64" spans="1:5" x14ac:dyDescent="0.25">
      <c r="A64">
        <f t="shared" si="8"/>
        <v>33000</v>
      </c>
      <c r="B64">
        <f t="shared" si="3"/>
        <v>0</v>
      </c>
      <c r="C64">
        <f t="shared" si="4"/>
        <v>0</v>
      </c>
      <c r="D64">
        <f t="shared" si="5"/>
        <v>0</v>
      </c>
      <c r="E64">
        <f t="shared" si="9"/>
        <v>0</v>
      </c>
    </row>
    <row r="65" spans="1:5" x14ac:dyDescent="0.25">
      <c r="A65">
        <f t="shared" si="8"/>
        <v>39000</v>
      </c>
      <c r="B65">
        <f t="shared" si="3"/>
        <v>0</v>
      </c>
      <c r="C65">
        <f t="shared" si="4"/>
        <v>0</v>
      </c>
      <c r="D65">
        <f t="shared" si="5"/>
        <v>0</v>
      </c>
      <c r="E65">
        <f t="shared" si="9"/>
        <v>0</v>
      </c>
    </row>
    <row r="66" spans="1:5" x14ac:dyDescent="0.25">
      <c r="A66">
        <f t="shared" si="8"/>
        <v>47000</v>
      </c>
      <c r="B66">
        <f t="shared" si="3"/>
        <v>0</v>
      </c>
      <c r="C66">
        <f t="shared" si="4"/>
        <v>0</v>
      </c>
      <c r="D66">
        <f t="shared" si="5"/>
        <v>0</v>
      </c>
      <c r="E66">
        <f t="shared" si="9"/>
        <v>0</v>
      </c>
    </row>
    <row r="67" spans="1:5" x14ac:dyDescent="0.25">
      <c r="A67">
        <f t="shared" si="8"/>
        <v>56000</v>
      </c>
      <c r="B67">
        <f t="shared" si="3"/>
        <v>0</v>
      </c>
      <c r="C67">
        <f t="shared" si="4"/>
        <v>0</v>
      </c>
      <c r="D67">
        <f t="shared" si="5"/>
        <v>0</v>
      </c>
      <c r="E67">
        <f t="shared" si="9"/>
        <v>0</v>
      </c>
    </row>
    <row r="68" spans="1:5" x14ac:dyDescent="0.25">
      <c r="A68">
        <f t="shared" si="8"/>
        <v>68000</v>
      </c>
      <c r="B68">
        <f t="shared" si="3"/>
        <v>0</v>
      </c>
      <c r="C68">
        <f t="shared" si="4"/>
        <v>0</v>
      </c>
      <c r="D68">
        <f t="shared" si="5"/>
        <v>0</v>
      </c>
      <c r="E68">
        <f t="shared" si="9"/>
        <v>0</v>
      </c>
    </row>
    <row r="69" spans="1:5" x14ac:dyDescent="0.25">
      <c r="A69">
        <f t="shared" si="8"/>
        <v>82000</v>
      </c>
      <c r="B69">
        <f t="shared" si="3"/>
        <v>0</v>
      </c>
      <c r="C69">
        <f t="shared" si="4"/>
        <v>0</v>
      </c>
      <c r="D69">
        <f t="shared" si="5"/>
        <v>0</v>
      </c>
      <c r="E69">
        <f t="shared" si="9"/>
        <v>0</v>
      </c>
    </row>
    <row r="70" spans="1:5" x14ac:dyDescent="0.25">
      <c r="A70">
        <f t="shared" si="8"/>
        <v>100000</v>
      </c>
      <c r="B70">
        <f t="shared" si="3"/>
        <v>0</v>
      </c>
      <c r="C70">
        <f t="shared" ref="C70:D70" si="10">IF(IF((C$3*10^12-$A71)*(C$3*10^12-$A70)*-1&lt;0,0,1)*IF(ABS(C$3*10^12-$A71)&gt;(C$3*10^12-$A70),$A70,$A71)=C71,0,IF((C$3*10^12-$A71)*(C$3*10^12-$A70)*-1&lt;0,0,1)*IF(ABS(C$3*10^12-$A71)&gt;(C$3*10^12-$A70),$A70,$A71))</f>
        <v>0</v>
      </c>
      <c r="D70">
        <f t="shared" si="10"/>
        <v>0</v>
      </c>
      <c r="E70">
        <f t="shared" ref="E70:E101" si="11">IF(IF((E$3*10^12-$A71)*(E$3*10^12-$A70)*-1&lt;0,0,1)*IF(ABS(E$3*10^12-$A71)&gt;(E$3*10^12-$A70),$A70,$A71)=E71,0,IF((E$3*10^12-$A71)*(E$3*10^12-$A70)*-1&lt;0,0,1)*IF(ABS(E$3*10^12-$A71)&gt;(E$3*10^12-$A70),$A70,$A71))</f>
        <v>0</v>
      </c>
    </row>
    <row r="71" spans="1:5" x14ac:dyDescent="0.25">
      <c r="A71">
        <f t="shared" si="8"/>
        <v>120000</v>
      </c>
      <c r="B71">
        <f t="shared" ref="B71:B134" si="12">IF(IF((B$3*10^12-$A72)*(B$3*10^12-$A71)*-1&lt;0,0,1)*IF(ABS(B$3*10^12-$A72)&gt;(B$3*10^12-$A71),$A71,$A72)=B72,0,IF((B$3*10^12-$A72)*(B$3*10^12-$A71)*-1&lt;0,0,1)*IF(ABS(B$3*10^12-$A72)&gt;(B$3*10^12-$A71),$A71,$A72))</f>
        <v>0</v>
      </c>
      <c r="C71">
        <f t="shared" ref="C71:C133" si="13">IF(IF((C$3*10^12-$A72)*(C$3*10^12-$A71)*-1&lt;0,0,1)*IF(ABS(C$3*10^12-$A72)&gt;(C$3*10^12-$A71),$A71,$A72)=C72,0,IF((C$3*10^12-$A72)*(C$3*10^12-$A71)*-1&lt;0,0,1)*IF(ABS(C$3*10^12-$A72)&gt;(C$3*10^12-$A71),$A71,$A72))</f>
        <v>0</v>
      </c>
      <c r="D71">
        <f t="shared" ref="D71:D102" si="14">IF(IF((D$3*10^12-$A72)*(D$3*10^12-$A71)*-1&lt;0,0,1)*IF(ABS(D$3*10^12-$A72)&gt;(D$3*10^12-$A71),$A71,$A72)=D72,0,IF((D$3*10^12-$A72)*(D$3*10^12-$A71)*-1&lt;0,0,1)*IF(ABS(D$3*10^12-$A72)&gt;(D$3*10^12-$A71),$A71,$A72))</f>
        <v>0</v>
      </c>
      <c r="E71">
        <f t="shared" si="11"/>
        <v>0</v>
      </c>
    </row>
    <row r="72" spans="1:5" x14ac:dyDescent="0.25">
      <c r="A72">
        <f t="shared" si="8"/>
        <v>150000</v>
      </c>
      <c r="B72">
        <f t="shared" si="12"/>
        <v>0</v>
      </c>
      <c r="C72">
        <f t="shared" si="13"/>
        <v>0</v>
      </c>
      <c r="D72">
        <f t="shared" si="14"/>
        <v>0</v>
      </c>
      <c r="E72">
        <f t="shared" si="11"/>
        <v>0</v>
      </c>
    </row>
    <row r="73" spans="1:5" x14ac:dyDescent="0.25">
      <c r="A73">
        <f t="shared" si="8"/>
        <v>180000</v>
      </c>
      <c r="B73">
        <f t="shared" si="12"/>
        <v>0</v>
      </c>
      <c r="C73">
        <f t="shared" si="13"/>
        <v>0</v>
      </c>
      <c r="D73">
        <f t="shared" si="14"/>
        <v>0</v>
      </c>
      <c r="E73">
        <f t="shared" si="11"/>
        <v>0</v>
      </c>
    </row>
    <row r="74" spans="1:5" x14ac:dyDescent="0.25">
      <c r="A74">
        <f t="shared" si="8"/>
        <v>220000</v>
      </c>
      <c r="B74">
        <f t="shared" si="12"/>
        <v>0</v>
      </c>
      <c r="C74">
        <f t="shared" si="13"/>
        <v>0</v>
      </c>
      <c r="D74">
        <f t="shared" si="14"/>
        <v>0</v>
      </c>
      <c r="E74">
        <f t="shared" si="11"/>
        <v>0</v>
      </c>
    </row>
    <row r="75" spans="1:5" x14ac:dyDescent="0.25">
      <c r="A75">
        <f t="shared" si="8"/>
        <v>270000</v>
      </c>
      <c r="B75">
        <f t="shared" si="12"/>
        <v>0</v>
      </c>
      <c r="C75">
        <f t="shared" si="13"/>
        <v>0</v>
      </c>
      <c r="D75">
        <f t="shared" si="14"/>
        <v>0</v>
      </c>
      <c r="E75">
        <f t="shared" si="11"/>
        <v>0</v>
      </c>
    </row>
    <row r="76" spans="1:5" x14ac:dyDescent="0.25">
      <c r="A76">
        <f t="shared" si="8"/>
        <v>330000</v>
      </c>
      <c r="B76">
        <f t="shared" si="12"/>
        <v>0</v>
      </c>
      <c r="C76">
        <f t="shared" si="13"/>
        <v>0</v>
      </c>
      <c r="D76">
        <f t="shared" si="14"/>
        <v>0</v>
      </c>
      <c r="E76">
        <f t="shared" si="11"/>
        <v>0</v>
      </c>
    </row>
    <row r="77" spans="1:5" x14ac:dyDescent="0.25">
      <c r="A77">
        <f t="shared" si="8"/>
        <v>390000</v>
      </c>
      <c r="B77">
        <f t="shared" si="12"/>
        <v>0</v>
      </c>
      <c r="C77">
        <f t="shared" si="13"/>
        <v>0</v>
      </c>
      <c r="D77">
        <f t="shared" si="14"/>
        <v>0</v>
      </c>
      <c r="E77">
        <f t="shared" si="11"/>
        <v>0</v>
      </c>
    </row>
    <row r="78" spans="1:5" x14ac:dyDescent="0.25">
      <c r="A78">
        <f t="shared" si="8"/>
        <v>470000</v>
      </c>
      <c r="B78">
        <f t="shared" si="12"/>
        <v>0</v>
      </c>
      <c r="C78">
        <f t="shared" si="13"/>
        <v>0</v>
      </c>
      <c r="D78">
        <f t="shared" si="14"/>
        <v>0</v>
      </c>
      <c r="E78">
        <f t="shared" si="11"/>
        <v>0</v>
      </c>
    </row>
    <row r="79" spans="1:5" x14ac:dyDescent="0.25">
      <c r="A79">
        <f t="shared" si="8"/>
        <v>560000</v>
      </c>
      <c r="B79">
        <f t="shared" si="12"/>
        <v>0</v>
      </c>
      <c r="C79">
        <f t="shared" si="13"/>
        <v>0</v>
      </c>
      <c r="D79">
        <f t="shared" si="14"/>
        <v>0</v>
      </c>
      <c r="E79">
        <f t="shared" si="11"/>
        <v>0</v>
      </c>
    </row>
    <row r="80" spans="1:5" x14ac:dyDescent="0.25">
      <c r="A80">
        <f t="shared" si="8"/>
        <v>680000</v>
      </c>
      <c r="B80">
        <f t="shared" si="12"/>
        <v>0</v>
      </c>
      <c r="C80">
        <f t="shared" si="13"/>
        <v>0</v>
      </c>
      <c r="D80">
        <f t="shared" si="14"/>
        <v>0</v>
      </c>
      <c r="E80">
        <f t="shared" si="11"/>
        <v>0</v>
      </c>
    </row>
    <row r="81" spans="1:5" x14ac:dyDescent="0.25">
      <c r="A81">
        <f t="shared" si="8"/>
        <v>820000</v>
      </c>
      <c r="B81">
        <f t="shared" si="12"/>
        <v>0</v>
      </c>
      <c r="C81">
        <f t="shared" si="13"/>
        <v>0</v>
      </c>
      <c r="D81">
        <f t="shared" si="14"/>
        <v>0</v>
      </c>
      <c r="E81">
        <f t="shared" si="11"/>
        <v>0</v>
      </c>
    </row>
    <row r="82" spans="1:5" x14ac:dyDescent="0.25">
      <c r="A82">
        <f t="shared" si="8"/>
        <v>1000000</v>
      </c>
      <c r="B82">
        <f t="shared" si="12"/>
        <v>0</v>
      </c>
      <c r="C82">
        <f t="shared" si="13"/>
        <v>0</v>
      </c>
      <c r="D82">
        <f t="shared" si="14"/>
        <v>0</v>
      </c>
      <c r="E82">
        <f t="shared" si="11"/>
        <v>0</v>
      </c>
    </row>
    <row r="83" spans="1:5" x14ac:dyDescent="0.25">
      <c r="A83">
        <f t="shared" si="8"/>
        <v>1200000</v>
      </c>
      <c r="B83">
        <f t="shared" si="12"/>
        <v>0</v>
      </c>
      <c r="C83">
        <f t="shared" si="13"/>
        <v>0</v>
      </c>
      <c r="D83">
        <f t="shared" si="14"/>
        <v>0</v>
      </c>
      <c r="E83">
        <f t="shared" si="11"/>
        <v>0</v>
      </c>
    </row>
    <row r="84" spans="1:5" x14ac:dyDescent="0.25">
      <c r="A84">
        <f t="shared" si="8"/>
        <v>1500000</v>
      </c>
      <c r="B84">
        <f t="shared" si="12"/>
        <v>0</v>
      </c>
      <c r="C84">
        <f t="shared" si="13"/>
        <v>0</v>
      </c>
      <c r="D84">
        <f t="shared" si="14"/>
        <v>0</v>
      </c>
      <c r="E84">
        <f t="shared" si="11"/>
        <v>0</v>
      </c>
    </row>
    <row r="85" spans="1:5" x14ac:dyDescent="0.25">
      <c r="A85">
        <f t="shared" si="8"/>
        <v>1800000</v>
      </c>
      <c r="B85">
        <f t="shared" si="12"/>
        <v>0</v>
      </c>
      <c r="C85">
        <f t="shared" si="13"/>
        <v>0</v>
      </c>
      <c r="D85">
        <f t="shared" si="14"/>
        <v>0</v>
      </c>
      <c r="E85">
        <f t="shared" si="11"/>
        <v>0</v>
      </c>
    </row>
    <row r="86" spans="1:5" x14ac:dyDescent="0.25">
      <c r="A86">
        <f t="shared" si="8"/>
        <v>2200000</v>
      </c>
      <c r="B86">
        <f t="shared" si="12"/>
        <v>0</v>
      </c>
      <c r="C86">
        <f t="shared" si="13"/>
        <v>0</v>
      </c>
      <c r="D86">
        <f t="shared" si="14"/>
        <v>0</v>
      </c>
      <c r="E86">
        <f t="shared" si="11"/>
        <v>0</v>
      </c>
    </row>
    <row r="87" spans="1:5" x14ac:dyDescent="0.25">
      <c r="A87">
        <f t="shared" si="8"/>
        <v>2700000</v>
      </c>
      <c r="B87">
        <f t="shared" si="12"/>
        <v>0</v>
      </c>
      <c r="C87">
        <f t="shared" si="13"/>
        <v>0</v>
      </c>
      <c r="D87">
        <f t="shared" si="14"/>
        <v>0</v>
      </c>
      <c r="E87">
        <f t="shared" si="11"/>
        <v>0</v>
      </c>
    </row>
    <row r="88" spans="1:5" x14ac:dyDescent="0.25">
      <c r="A88">
        <f t="shared" si="8"/>
        <v>3300000</v>
      </c>
      <c r="B88">
        <f t="shared" si="12"/>
        <v>0</v>
      </c>
      <c r="C88">
        <f t="shared" si="13"/>
        <v>0</v>
      </c>
      <c r="D88">
        <f t="shared" si="14"/>
        <v>0</v>
      </c>
      <c r="E88">
        <f t="shared" si="11"/>
        <v>0</v>
      </c>
    </row>
    <row r="89" spans="1:5" x14ac:dyDescent="0.25">
      <c r="A89">
        <f t="shared" si="8"/>
        <v>3900000</v>
      </c>
      <c r="B89">
        <f t="shared" si="12"/>
        <v>0</v>
      </c>
      <c r="C89">
        <f t="shared" si="13"/>
        <v>0</v>
      </c>
      <c r="D89">
        <f t="shared" si="14"/>
        <v>0</v>
      </c>
      <c r="E89">
        <f t="shared" si="11"/>
        <v>0</v>
      </c>
    </row>
    <row r="90" spans="1:5" x14ac:dyDescent="0.25">
      <c r="A90">
        <f t="shared" si="8"/>
        <v>4700000</v>
      </c>
      <c r="B90">
        <f t="shared" si="12"/>
        <v>0</v>
      </c>
      <c r="C90">
        <f t="shared" si="13"/>
        <v>0</v>
      </c>
      <c r="D90">
        <f t="shared" si="14"/>
        <v>0</v>
      </c>
      <c r="E90">
        <f t="shared" si="11"/>
        <v>0</v>
      </c>
    </row>
    <row r="91" spans="1:5" x14ac:dyDescent="0.25">
      <c r="A91">
        <f t="shared" si="8"/>
        <v>5600000</v>
      </c>
      <c r="B91">
        <f t="shared" si="12"/>
        <v>0</v>
      </c>
      <c r="C91">
        <f t="shared" si="13"/>
        <v>0</v>
      </c>
      <c r="D91">
        <f t="shared" si="14"/>
        <v>0</v>
      </c>
      <c r="E91">
        <f t="shared" si="11"/>
        <v>0</v>
      </c>
    </row>
    <row r="92" spans="1:5" x14ac:dyDescent="0.25">
      <c r="A92">
        <f t="shared" si="8"/>
        <v>6800000</v>
      </c>
      <c r="B92">
        <f t="shared" si="12"/>
        <v>0</v>
      </c>
      <c r="C92">
        <f t="shared" si="13"/>
        <v>0</v>
      </c>
      <c r="D92">
        <f t="shared" si="14"/>
        <v>0</v>
      </c>
      <c r="E92">
        <f t="shared" si="11"/>
        <v>0</v>
      </c>
    </row>
    <row r="93" spans="1:5" x14ac:dyDescent="0.25">
      <c r="A93">
        <f t="shared" si="8"/>
        <v>8200000</v>
      </c>
      <c r="B93">
        <f t="shared" si="12"/>
        <v>0</v>
      </c>
      <c r="C93">
        <f t="shared" si="13"/>
        <v>0</v>
      </c>
      <c r="D93">
        <f t="shared" si="14"/>
        <v>0</v>
      </c>
      <c r="E93">
        <f t="shared" si="11"/>
        <v>0</v>
      </c>
    </row>
    <row r="94" spans="1:5" x14ac:dyDescent="0.25">
      <c r="A94">
        <f t="shared" si="8"/>
        <v>10000000</v>
      </c>
      <c r="B94">
        <f t="shared" si="12"/>
        <v>0</v>
      </c>
      <c r="C94">
        <f t="shared" si="13"/>
        <v>0</v>
      </c>
      <c r="D94">
        <f t="shared" si="14"/>
        <v>0</v>
      </c>
      <c r="E94">
        <f t="shared" si="11"/>
        <v>0</v>
      </c>
    </row>
    <row r="95" spans="1:5" x14ac:dyDescent="0.25">
      <c r="A95">
        <f t="shared" si="8"/>
        <v>12000000</v>
      </c>
      <c r="B95">
        <f t="shared" si="12"/>
        <v>0</v>
      </c>
      <c r="C95">
        <f t="shared" si="13"/>
        <v>0</v>
      </c>
      <c r="D95">
        <f t="shared" si="14"/>
        <v>0</v>
      </c>
      <c r="E95">
        <f t="shared" si="11"/>
        <v>0</v>
      </c>
    </row>
    <row r="96" spans="1:5" x14ac:dyDescent="0.25">
      <c r="A96">
        <f t="shared" si="8"/>
        <v>15000000</v>
      </c>
      <c r="B96">
        <f t="shared" si="12"/>
        <v>0</v>
      </c>
      <c r="C96">
        <f t="shared" si="13"/>
        <v>0</v>
      </c>
      <c r="D96">
        <f t="shared" si="14"/>
        <v>0</v>
      </c>
      <c r="E96">
        <f t="shared" si="11"/>
        <v>0</v>
      </c>
    </row>
    <row r="97" spans="1:5" x14ac:dyDescent="0.25">
      <c r="A97">
        <f t="shared" si="8"/>
        <v>18000000</v>
      </c>
      <c r="B97">
        <f t="shared" si="12"/>
        <v>0</v>
      </c>
      <c r="C97">
        <f t="shared" si="13"/>
        <v>0</v>
      </c>
      <c r="D97">
        <f t="shared" si="14"/>
        <v>0</v>
      </c>
      <c r="E97">
        <f t="shared" si="11"/>
        <v>0</v>
      </c>
    </row>
    <row r="98" spans="1:5" x14ac:dyDescent="0.25">
      <c r="A98">
        <f t="shared" si="8"/>
        <v>22000000</v>
      </c>
      <c r="B98">
        <f t="shared" si="12"/>
        <v>0</v>
      </c>
      <c r="C98">
        <f t="shared" si="13"/>
        <v>0</v>
      </c>
      <c r="D98">
        <f t="shared" si="14"/>
        <v>0</v>
      </c>
      <c r="E98">
        <f t="shared" si="11"/>
        <v>0</v>
      </c>
    </row>
    <row r="99" spans="1:5" x14ac:dyDescent="0.25">
      <c r="A99">
        <f t="shared" ref="A99:A159" si="15">A87*10</f>
        <v>27000000</v>
      </c>
      <c r="B99">
        <f t="shared" si="12"/>
        <v>0</v>
      </c>
      <c r="C99">
        <f t="shared" si="13"/>
        <v>0</v>
      </c>
      <c r="D99">
        <f t="shared" si="14"/>
        <v>0</v>
      </c>
      <c r="E99">
        <f t="shared" si="11"/>
        <v>0</v>
      </c>
    </row>
    <row r="100" spans="1:5" x14ac:dyDescent="0.25">
      <c r="A100">
        <f t="shared" si="15"/>
        <v>33000000</v>
      </c>
      <c r="B100">
        <f t="shared" si="12"/>
        <v>0</v>
      </c>
      <c r="C100">
        <f t="shared" si="13"/>
        <v>0</v>
      </c>
      <c r="D100">
        <f t="shared" si="14"/>
        <v>0</v>
      </c>
      <c r="E100">
        <f t="shared" si="11"/>
        <v>0</v>
      </c>
    </row>
    <row r="101" spans="1:5" x14ac:dyDescent="0.25">
      <c r="A101">
        <f t="shared" si="15"/>
        <v>39000000</v>
      </c>
      <c r="B101">
        <f t="shared" si="12"/>
        <v>0</v>
      </c>
      <c r="C101">
        <f t="shared" si="13"/>
        <v>0</v>
      </c>
      <c r="D101">
        <f t="shared" si="14"/>
        <v>0</v>
      </c>
      <c r="E101">
        <f t="shared" si="11"/>
        <v>0</v>
      </c>
    </row>
    <row r="102" spans="1:5" x14ac:dyDescent="0.25">
      <c r="A102">
        <f t="shared" si="15"/>
        <v>47000000</v>
      </c>
      <c r="B102">
        <f t="shared" si="12"/>
        <v>0</v>
      </c>
      <c r="C102">
        <f t="shared" si="13"/>
        <v>0</v>
      </c>
      <c r="D102">
        <f t="shared" si="14"/>
        <v>0</v>
      </c>
      <c r="E102">
        <f t="shared" ref="E102:E133" si="16">IF(IF((E$3*10^12-$A103)*(E$3*10^12-$A102)*-1&lt;0,0,1)*IF(ABS(E$3*10^12-$A103)&gt;(E$3*10^12-$A102),$A102,$A103)=E103,0,IF((E$3*10^12-$A103)*(E$3*10^12-$A102)*-1&lt;0,0,1)*IF(ABS(E$3*10^12-$A103)&gt;(E$3*10^12-$A102),$A102,$A103))</f>
        <v>0</v>
      </c>
    </row>
    <row r="103" spans="1:5" x14ac:dyDescent="0.25">
      <c r="A103">
        <f t="shared" si="15"/>
        <v>56000000</v>
      </c>
      <c r="B103">
        <f t="shared" si="12"/>
        <v>0</v>
      </c>
      <c r="C103">
        <f t="shared" si="13"/>
        <v>0</v>
      </c>
      <c r="D103">
        <f t="shared" ref="D103:D134" si="17">IF(IF((D$3*10^12-$A104)*(D$3*10^12-$A103)*-1&lt;0,0,1)*IF(ABS(D$3*10^12-$A104)&gt;(D$3*10^12-$A103),$A103,$A104)=D104,0,IF((D$3*10^12-$A104)*(D$3*10^12-$A103)*-1&lt;0,0,1)*IF(ABS(D$3*10^12-$A104)&gt;(D$3*10^12-$A103),$A103,$A104))</f>
        <v>0</v>
      </c>
      <c r="E103">
        <f t="shared" si="16"/>
        <v>0</v>
      </c>
    </row>
    <row r="104" spans="1:5" x14ac:dyDescent="0.25">
      <c r="A104">
        <f t="shared" si="15"/>
        <v>68000000</v>
      </c>
      <c r="B104">
        <f t="shared" si="12"/>
        <v>0</v>
      </c>
      <c r="C104">
        <f t="shared" si="13"/>
        <v>0</v>
      </c>
      <c r="D104">
        <f t="shared" si="17"/>
        <v>0</v>
      </c>
      <c r="E104">
        <f t="shared" si="16"/>
        <v>0</v>
      </c>
    </row>
    <row r="105" spans="1:5" x14ac:dyDescent="0.25">
      <c r="A105">
        <f t="shared" si="15"/>
        <v>82000000</v>
      </c>
      <c r="B105">
        <f t="shared" si="12"/>
        <v>0</v>
      </c>
      <c r="C105">
        <f t="shared" si="13"/>
        <v>0</v>
      </c>
      <c r="D105">
        <f t="shared" si="17"/>
        <v>0</v>
      </c>
      <c r="E105">
        <f t="shared" si="16"/>
        <v>0</v>
      </c>
    </row>
    <row r="106" spans="1:5" x14ac:dyDescent="0.25">
      <c r="A106">
        <f t="shared" si="15"/>
        <v>100000000</v>
      </c>
      <c r="B106">
        <f t="shared" si="12"/>
        <v>0</v>
      </c>
      <c r="C106">
        <f t="shared" si="13"/>
        <v>0</v>
      </c>
      <c r="D106">
        <f t="shared" si="17"/>
        <v>0</v>
      </c>
      <c r="E106">
        <f t="shared" si="16"/>
        <v>0</v>
      </c>
    </row>
    <row r="107" spans="1:5" x14ac:dyDescent="0.25">
      <c r="A107">
        <f t="shared" si="15"/>
        <v>120000000</v>
      </c>
      <c r="B107">
        <f t="shared" si="12"/>
        <v>0</v>
      </c>
      <c r="C107">
        <f t="shared" si="13"/>
        <v>0</v>
      </c>
      <c r="D107">
        <f t="shared" si="17"/>
        <v>0</v>
      </c>
      <c r="E107">
        <f t="shared" si="16"/>
        <v>0</v>
      </c>
    </row>
    <row r="108" spans="1:5" x14ac:dyDescent="0.25">
      <c r="A108">
        <f t="shared" si="15"/>
        <v>150000000</v>
      </c>
      <c r="B108">
        <f t="shared" si="12"/>
        <v>0</v>
      </c>
      <c r="C108">
        <f t="shared" si="13"/>
        <v>0</v>
      </c>
      <c r="D108">
        <f t="shared" si="17"/>
        <v>0</v>
      </c>
      <c r="E108">
        <f t="shared" si="16"/>
        <v>0</v>
      </c>
    </row>
    <row r="109" spans="1:5" x14ac:dyDescent="0.25">
      <c r="A109">
        <f t="shared" si="15"/>
        <v>180000000</v>
      </c>
      <c r="B109">
        <f t="shared" si="12"/>
        <v>0</v>
      </c>
      <c r="C109">
        <f t="shared" si="13"/>
        <v>0</v>
      </c>
      <c r="D109">
        <f t="shared" si="17"/>
        <v>0</v>
      </c>
      <c r="E109">
        <f t="shared" si="16"/>
        <v>0</v>
      </c>
    </row>
    <row r="110" spans="1:5" x14ac:dyDescent="0.25">
      <c r="A110">
        <f t="shared" si="15"/>
        <v>220000000</v>
      </c>
      <c r="B110">
        <f t="shared" si="12"/>
        <v>0</v>
      </c>
      <c r="C110">
        <f t="shared" si="13"/>
        <v>0</v>
      </c>
      <c r="D110">
        <f t="shared" si="17"/>
        <v>0</v>
      </c>
      <c r="E110">
        <f t="shared" si="16"/>
        <v>0</v>
      </c>
    </row>
    <row r="111" spans="1:5" x14ac:dyDescent="0.25">
      <c r="A111">
        <f t="shared" si="15"/>
        <v>270000000</v>
      </c>
      <c r="B111">
        <f t="shared" si="12"/>
        <v>0</v>
      </c>
      <c r="C111">
        <f t="shared" si="13"/>
        <v>0</v>
      </c>
      <c r="D111">
        <f t="shared" si="17"/>
        <v>0</v>
      </c>
      <c r="E111">
        <f t="shared" si="16"/>
        <v>0</v>
      </c>
    </row>
    <row r="112" spans="1:5" x14ac:dyDescent="0.25">
      <c r="A112">
        <f t="shared" si="15"/>
        <v>330000000</v>
      </c>
      <c r="B112">
        <f t="shared" si="12"/>
        <v>0</v>
      </c>
      <c r="C112">
        <f t="shared" si="13"/>
        <v>0</v>
      </c>
      <c r="D112">
        <f t="shared" si="17"/>
        <v>0</v>
      </c>
      <c r="E112">
        <f t="shared" si="16"/>
        <v>0</v>
      </c>
    </row>
    <row r="113" spans="1:5" x14ac:dyDescent="0.25">
      <c r="A113">
        <f t="shared" si="15"/>
        <v>390000000</v>
      </c>
      <c r="B113">
        <f t="shared" si="12"/>
        <v>0</v>
      </c>
      <c r="C113">
        <f t="shared" si="13"/>
        <v>0</v>
      </c>
      <c r="D113">
        <f t="shared" si="17"/>
        <v>0</v>
      </c>
      <c r="E113">
        <f t="shared" si="16"/>
        <v>0</v>
      </c>
    </row>
    <row r="114" spans="1:5" x14ac:dyDescent="0.25">
      <c r="A114">
        <f t="shared" si="15"/>
        <v>470000000</v>
      </c>
      <c r="B114">
        <f t="shared" si="12"/>
        <v>0</v>
      </c>
      <c r="C114">
        <f t="shared" si="13"/>
        <v>0</v>
      </c>
      <c r="D114">
        <f t="shared" si="17"/>
        <v>0</v>
      </c>
      <c r="E114">
        <f t="shared" si="16"/>
        <v>0</v>
      </c>
    </row>
    <row r="115" spans="1:5" x14ac:dyDescent="0.25">
      <c r="A115">
        <f t="shared" si="15"/>
        <v>560000000</v>
      </c>
      <c r="B115">
        <f t="shared" si="12"/>
        <v>0</v>
      </c>
      <c r="C115">
        <f t="shared" si="13"/>
        <v>0</v>
      </c>
      <c r="D115">
        <f t="shared" si="17"/>
        <v>0</v>
      </c>
      <c r="E115">
        <f t="shared" si="16"/>
        <v>0</v>
      </c>
    </row>
    <row r="116" spans="1:5" x14ac:dyDescent="0.25">
      <c r="A116">
        <f t="shared" si="15"/>
        <v>680000000</v>
      </c>
      <c r="B116">
        <f t="shared" si="12"/>
        <v>0</v>
      </c>
      <c r="C116">
        <f t="shared" si="13"/>
        <v>0</v>
      </c>
      <c r="D116">
        <f t="shared" si="17"/>
        <v>0</v>
      </c>
      <c r="E116">
        <f t="shared" si="16"/>
        <v>0</v>
      </c>
    </row>
    <row r="117" spans="1:5" x14ac:dyDescent="0.25">
      <c r="A117">
        <f t="shared" si="15"/>
        <v>820000000</v>
      </c>
      <c r="B117">
        <f t="shared" si="12"/>
        <v>0</v>
      </c>
      <c r="C117">
        <f t="shared" si="13"/>
        <v>0</v>
      </c>
      <c r="D117">
        <f t="shared" si="17"/>
        <v>0</v>
      </c>
      <c r="E117">
        <f t="shared" si="16"/>
        <v>0</v>
      </c>
    </row>
    <row r="118" spans="1:5" x14ac:dyDescent="0.25">
      <c r="A118">
        <f t="shared" si="15"/>
        <v>1000000000</v>
      </c>
      <c r="B118">
        <f t="shared" si="12"/>
        <v>0</v>
      </c>
      <c r="C118">
        <f t="shared" si="13"/>
        <v>0</v>
      </c>
      <c r="D118">
        <f t="shared" si="17"/>
        <v>0</v>
      </c>
      <c r="E118">
        <f t="shared" si="16"/>
        <v>0</v>
      </c>
    </row>
    <row r="119" spans="1:5" x14ac:dyDescent="0.25">
      <c r="A119">
        <f t="shared" si="15"/>
        <v>1200000000</v>
      </c>
      <c r="B119">
        <f t="shared" si="12"/>
        <v>0</v>
      </c>
      <c r="C119">
        <f t="shared" si="13"/>
        <v>0</v>
      </c>
      <c r="D119">
        <f t="shared" si="17"/>
        <v>0</v>
      </c>
      <c r="E119">
        <f t="shared" si="16"/>
        <v>0</v>
      </c>
    </row>
    <row r="120" spans="1:5" x14ac:dyDescent="0.25">
      <c r="A120">
        <f t="shared" si="15"/>
        <v>1500000000</v>
      </c>
      <c r="B120">
        <f t="shared" si="12"/>
        <v>0</v>
      </c>
      <c r="C120">
        <f t="shared" si="13"/>
        <v>0</v>
      </c>
      <c r="D120">
        <f t="shared" si="17"/>
        <v>0</v>
      </c>
      <c r="E120">
        <f t="shared" si="16"/>
        <v>0</v>
      </c>
    </row>
    <row r="121" spans="1:5" x14ac:dyDescent="0.25">
      <c r="A121">
        <f t="shared" si="15"/>
        <v>1800000000</v>
      </c>
      <c r="B121">
        <f t="shared" si="12"/>
        <v>0</v>
      </c>
      <c r="C121">
        <f t="shared" si="13"/>
        <v>0</v>
      </c>
      <c r="D121">
        <f t="shared" si="17"/>
        <v>0</v>
      </c>
      <c r="E121">
        <f t="shared" si="16"/>
        <v>0</v>
      </c>
    </row>
    <row r="122" spans="1:5" x14ac:dyDescent="0.25">
      <c r="A122">
        <f t="shared" si="15"/>
        <v>2200000000</v>
      </c>
      <c r="B122">
        <f t="shared" si="12"/>
        <v>0</v>
      </c>
      <c r="C122">
        <f t="shared" si="13"/>
        <v>0</v>
      </c>
      <c r="D122">
        <f t="shared" si="17"/>
        <v>0</v>
      </c>
      <c r="E122">
        <f t="shared" si="16"/>
        <v>0</v>
      </c>
    </row>
    <row r="123" spans="1:5" x14ac:dyDescent="0.25">
      <c r="A123">
        <f t="shared" si="15"/>
        <v>2700000000</v>
      </c>
      <c r="B123">
        <f t="shared" si="12"/>
        <v>0</v>
      </c>
      <c r="C123">
        <f t="shared" si="13"/>
        <v>0</v>
      </c>
      <c r="D123">
        <f t="shared" si="17"/>
        <v>0</v>
      </c>
      <c r="E123">
        <f t="shared" si="16"/>
        <v>0</v>
      </c>
    </row>
    <row r="124" spans="1:5" x14ac:dyDescent="0.25">
      <c r="A124">
        <f t="shared" si="15"/>
        <v>3300000000</v>
      </c>
      <c r="B124">
        <f t="shared" si="12"/>
        <v>0</v>
      </c>
      <c r="C124">
        <f t="shared" si="13"/>
        <v>0</v>
      </c>
      <c r="D124">
        <f t="shared" si="17"/>
        <v>0</v>
      </c>
      <c r="E124">
        <f t="shared" si="16"/>
        <v>0</v>
      </c>
    </row>
    <row r="125" spans="1:5" x14ac:dyDescent="0.25">
      <c r="A125">
        <f t="shared" si="15"/>
        <v>3900000000</v>
      </c>
      <c r="B125">
        <f t="shared" si="12"/>
        <v>0</v>
      </c>
      <c r="C125">
        <f t="shared" si="13"/>
        <v>0</v>
      </c>
      <c r="D125">
        <f t="shared" si="17"/>
        <v>0</v>
      </c>
      <c r="E125">
        <f t="shared" si="16"/>
        <v>0</v>
      </c>
    </row>
    <row r="126" spans="1:5" x14ac:dyDescent="0.25">
      <c r="A126">
        <f t="shared" si="15"/>
        <v>4700000000</v>
      </c>
      <c r="B126">
        <f t="shared" si="12"/>
        <v>0</v>
      </c>
      <c r="C126">
        <f t="shared" si="13"/>
        <v>0</v>
      </c>
      <c r="D126">
        <f t="shared" si="17"/>
        <v>0</v>
      </c>
      <c r="E126">
        <f t="shared" si="16"/>
        <v>0</v>
      </c>
    </row>
    <row r="127" spans="1:5" x14ac:dyDescent="0.25">
      <c r="A127">
        <f t="shared" si="15"/>
        <v>5600000000</v>
      </c>
      <c r="B127">
        <f t="shared" si="12"/>
        <v>0</v>
      </c>
      <c r="C127">
        <f t="shared" si="13"/>
        <v>0</v>
      </c>
      <c r="D127">
        <f t="shared" si="17"/>
        <v>0</v>
      </c>
      <c r="E127">
        <f t="shared" si="16"/>
        <v>0</v>
      </c>
    </row>
    <row r="128" spans="1:5" x14ac:dyDescent="0.25">
      <c r="A128">
        <f t="shared" si="15"/>
        <v>6800000000</v>
      </c>
      <c r="B128">
        <f t="shared" si="12"/>
        <v>0</v>
      </c>
      <c r="C128">
        <f t="shared" si="13"/>
        <v>0</v>
      </c>
      <c r="D128">
        <f t="shared" si="17"/>
        <v>0</v>
      </c>
      <c r="E128">
        <f t="shared" si="16"/>
        <v>0</v>
      </c>
    </row>
    <row r="129" spans="1:5" x14ac:dyDescent="0.25">
      <c r="A129">
        <f t="shared" si="15"/>
        <v>8200000000</v>
      </c>
      <c r="B129">
        <f t="shared" si="12"/>
        <v>0</v>
      </c>
      <c r="C129">
        <f t="shared" si="13"/>
        <v>0</v>
      </c>
      <c r="D129">
        <f t="shared" si="17"/>
        <v>0</v>
      </c>
      <c r="E129">
        <f t="shared" si="16"/>
        <v>0</v>
      </c>
    </row>
    <row r="130" spans="1:5" x14ac:dyDescent="0.25">
      <c r="A130">
        <f t="shared" si="15"/>
        <v>10000000000</v>
      </c>
      <c r="B130">
        <f t="shared" si="12"/>
        <v>0</v>
      </c>
      <c r="C130">
        <f t="shared" si="13"/>
        <v>0</v>
      </c>
      <c r="D130">
        <f t="shared" si="17"/>
        <v>0</v>
      </c>
      <c r="E130">
        <f t="shared" si="16"/>
        <v>0</v>
      </c>
    </row>
    <row r="131" spans="1:5" x14ac:dyDescent="0.25">
      <c r="A131">
        <f t="shared" si="15"/>
        <v>12000000000</v>
      </c>
      <c r="B131">
        <f t="shared" si="12"/>
        <v>0</v>
      </c>
      <c r="C131">
        <f t="shared" si="13"/>
        <v>0</v>
      </c>
      <c r="D131">
        <f t="shared" si="17"/>
        <v>0</v>
      </c>
      <c r="E131">
        <f t="shared" si="16"/>
        <v>0</v>
      </c>
    </row>
    <row r="132" spans="1:5" x14ac:dyDescent="0.25">
      <c r="A132">
        <f t="shared" si="15"/>
        <v>15000000000</v>
      </c>
      <c r="B132">
        <f t="shared" si="12"/>
        <v>0</v>
      </c>
      <c r="C132">
        <f t="shared" si="13"/>
        <v>0</v>
      </c>
      <c r="D132">
        <f t="shared" si="17"/>
        <v>0</v>
      </c>
      <c r="E132">
        <f t="shared" si="16"/>
        <v>0</v>
      </c>
    </row>
    <row r="133" spans="1:5" x14ac:dyDescent="0.25">
      <c r="A133">
        <f t="shared" si="15"/>
        <v>18000000000</v>
      </c>
      <c r="B133">
        <f t="shared" si="12"/>
        <v>0</v>
      </c>
      <c r="C133">
        <f t="shared" si="13"/>
        <v>0</v>
      </c>
      <c r="D133">
        <f t="shared" si="17"/>
        <v>0</v>
      </c>
      <c r="E133">
        <f t="shared" si="16"/>
        <v>0</v>
      </c>
    </row>
    <row r="134" spans="1:5" x14ac:dyDescent="0.25">
      <c r="A134">
        <f t="shared" si="15"/>
        <v>22000000000</v>
      </c>
      <c r="B134">
        <f t="shared" si="12"/>
        <v>0</v>
      </c>
      <c r="C134">
        <f t="shared" ref="C134:D159" si="18">IF(IF((C$3*10^12-$A135)*(C$3*10^12-$A134)*-1&lt;0,0,1)*IF(ABS(C$3*10^12-$A135)&gt;(C$3*10^12-$A134),$A134,$A135)=C135,0,IF((C$3*10^12-$A135)*(C$3*10^12-$A134)*-1&lt;0,0,1)*IF(ABS(C$3*10^12-$A135)&gt;(C$3*10^12-$A134),$A134,$A135))</f>
        <v>0</v>
      </c>
      <c r="D134">
        <f t="shared" si="17"/>
        <v>0</v>
      </c>
      <c r="E134">
        <f t="shared" ref="E134:E159" si="19">IF(IF((E$3*10^12-$A135)*(E$3*10^12-$A134)*-1&lt;0,0,1)*IF(ABS(E$3*10^12-$A135)&gt;(E$3*10^12-$A134),$A134,$A135)=E135,0,IF((E$3*10^12-$A135)*(E$3*10^12-$A134)*-1&lt;0,0,1)*IF(ABS(E$3*10^12-$A135)&gt;(E$3*10^12-$A134),$A134,$A135))</f>
        <v>0</v>
      </c>
    </row>
    <row r="135" spans="1:5" x14ac:dyDescent="0.25">
      <c r="A135">
        <f t="shared" si="15"/>
        <v>27000000000</v>
      </c>
      <c r="B135">
        <f t="shared" ref="B135:B159" si="20">IF(IF((B$3*10^12-$A136)*(B$3*10^12-$A135)*-1&lt;0,0,1)*IF(ABS(B$3*10^12-$A136)&gt;(B$3*10^12-$A135),$A135,$A136)=B136,0,IF((B$3*10^12-$A136)*(B$3*10^12-$A135)*-1&lt;0,0,1)*IF(ABS(B$3*10^12-$A136)&gt;(B$3*10^12-$A135),$A135,$A136))</f>
        <v>0</v>
      </c>
      <c r="C135">
        <f t="shared" si="18"/>
        <v>0</v>
      </c>
      <c r="D135">
        <f t="shared" si="18"/>
        <v>0</v>
      </c>
      <c r="E135">
        <f t="shared" si="19"/>
        <v>0</v>
      </c>
    </row>
    <row r="136" spans="1:5" x14ac:dyDescent="0.25">
      <c r="A136">
        <f t="shared" si="15"/>
        <v>33000000000</v>
      </c>
      <c r="B136">
        <f t="shared" si="20"/>
        <v>0</v>
      </c>
      <c r="C136">
        <f t="shared" si="18"/>
        <v>0</v>
      </c>
      <c r="D136">
        <f t="shared" si="18"/>
        <v>0</v>
      </c>
      <c r="E136">
        <f t="shared" si="19"/>
        <v>0</v>
      </c>
    </row>
    <row r="137" spans="1:5" x14ac:dyDescent="0.25">
      <c r="A137">
        <f t="shared" si="15"/>
        <v>39000000000</v>
      </c>
      <c r="B137">
        <f t="shared" si="20"/>
        <v>0</v>
      </c>
      <c r="C137">
        <f t="shared" si="18"/>
        <v>0</v>
      </c>
      <c r="D137">
        <f t="shared" si="18"/>
        <v>0</v>
      </c>
      <c r="E137">
        <f t="shared" si="19"/>
        <v>0</v>
      </c>
    </row>
    <row r="138" spans="1:5" x14ac:dyDescent="0.25">
      <c r="A138">
        <f t="shared" si="15"/>
        <v>47000000000</v>
      </c>
      <c r="B138">
        <f t="shared" si="20"/>
        <v>0</v>
      </c>
      <c r="C138">
        <f t="shared" si="18"/>
        <v>0</v>
      </c>
      <c r="D138">
        <f t="shared" si="18"/>
        <v>0</v>
      </c>
      <c r="E138">
        <f t="shared" si="19"/>
        <v>0</v>
      </c>
    </row>
    <row r="139" spans="1:5" x14ac:dyDescent="0.25">
      <c r="A139">
        <f t="shared" si="15"/>
        <v>56000000000</v>
      </c>
      <c r="B139">
        <f t="shared" si="20"/>
        <v>0</v>
      </c>
      <c r="C139">
        <f t="shared" si="18"/>
        <v>0</v>
      </c>
      <c r="D139">
        <f t="shared" si="18"/>
        <v>0</v>
      </c>
      <c r="E139">
        <f t="shared" si="19"/>
        <v>0</v>
      </c>
    </row>
    <row r="140" spans="1:5" x14ac:dyDescent="0.25">
      <c r="A140">
        <f t="shared" si="15"/>
        <v>68000000000</v>
      </c>
      <c r="B140">
        <f t="shared" si="20"/>
        <v>0</v>
      </c>
      <c r="C140">
        <f t="shared" si="18"/>
        <v>0</v>
      </c>
      <c r="D140">
        <f t="shared" si="18"/>
        <v>0</v>
      </c>
      <c r="E140">
        <f t="shared" si="19"/>
        <v>0</v>
      </c>
    </row>
    <row r="141" spans="1:5" x14ac:dyDescent="0.25">
      <c r="A141">
        <f t="shared" si="15"/>
        <v>82000000000</v>
      </c>
      <c r="B141">
        <f t="shared" si="20"/>
        <v>0</v>
      </c>
      <c r="C141">
        <f t="shared" si="18"/>
        <v>0</v>
      </c>
      <c r="D141">
        <f t="shared" si="18"/>
        <v>0</v>
      </c>
      <c r="E141">
        <f t="shared" si="19"/>
        <v>0</v>
      </c>
    </row>
    <row r="142" spans="1:5" x14ac:dyDescent="0.25">
      <c r="A142">
        <f t="shared" si="15"/>
        <v>100000000000</v>
      </c>
      <c r="B142">
        <f t="shared" si="20"/>
        <v>0</v>
      </c>
      <c r="C142">
        <f t="shared" si="18"/>
        <v>0</v>
      </c>
      <c r="D142">
        <f t="shared" si="18"/>
        <v>0</v>
      </c>
      <c r="E142">
        <f t="shared" si="19"/>
        <v>0</v>
      </c>
    </row>
    <row r="143" spans="1:5" x14ac:dyDescent="0.25">
      <c r="A143">
        <f t="shared" si="15"/>
        <v>120000000000</v>
      </c>
      <c r="B143">
        <f t="shared" si="20"/>
        <v>0</v>
      </c>
      <c r="C143">
        <f t="shared" si="18"/>
        <v>0</v>
      </c>
      <c r="D143">
        <f t="shared" si="18"/>
        <v>0</v>
      </c>
      <c r="E143">
        <f t="shared" si="19"/>
        <v>0</v>
      </c>
    </row>
    <row r="144" spans="1:5" x14ac:dyDescent="0.25">
      <c r="A144">
        <f t="shared" si="15"/>
        <v>150000000000</v>
      </c>
      <c r="B144">
        <f t="shared" si="20"/>
        <v>0</v>
      </c>
      <c r="C144">
        <f t="shared" si="18"/>
        <v>0</v>
      </c>
      <c r="D144">
        <f t="shared" si="18"/>
        <v>0</v>
      </c>
      <c r="E144">
        <f t="shared" si="19"/>
        <v>0</v>
      </c>
    </row>
    <row r="145" spans="1:5" x14ac:dyDescent="0.25">
      <c r="A145">
        <f t="shared" si="15"/>
        <v>180000000000</v>
      </c>
      <c r="B145">
        <f t="shared" si="20"/>
        <v>0</v>
      </c>
      <c r="C145">
        <f t="shared" si="18"/>
        <v>0</v>
      </c>
      <c r="D145">
        <f t="shared" si="18"/>
        <v>0</v>
      </c>
      <c r="E145">
        <f t="shared" si="19"/>
        <v>0</v>
      </c>
    </row>
    <row r="146" spans="1:5" x14ac:dyDescent="0.25">
      <c r="A146">
        <f t="shared" si="15"/>
        <v>220000000000</v>
      </c>
      <c r="B146">
        <f t="shared" si="20"/>
        <v>0</v>
      </c>
      <c r="C146">
        <f t="shared" si="18"/>
        <v>0</v>
      </c>
      <c r="D146">
        <f t="shared" si="18"/>
        <v>0</v>
      </c>
      <c r="E146">
        <f t="shared" si="19"/>
        <v>0</v>
      </c>
    </row>
    <row r="147" spans="1:5" x14ac:dyDescent="0.25">
      <c r="A147">
        <f t="shared" si="15"/>
        <v>270000000000</v>
      </c>
      <c r="B147">
        <f t="shared" si="20"/>
        <v>0</v>
      </c>
      <c r="C147">
        <f t="shared" si="18"/>
        <v>0</v>
      </c>
      <c r="D147">
        <f t="shared" si="18"/>
        <v>0</v>
      </c>
      <c r="E147">
        <f t="shared" si="19"/>
        <v>0</v>
      </c>
    </row>
    <row r="148" spans="1:5" x14ac:dyDescent="0.25">
      <c r="A148">
        <f t="shared" si="15"/>
        <v>330000000000</v>
      </c>
      <c r="B148">
        <f t="shared" si="20"/>
        <v>0</v>
      </c>
      <c r="C148">
        <f t="shared" si="18"/>
        <v>0</v>
      </c>
      <c r="D148">
        <f t="shared" si="18"/>
        <v>0</v>
      </c>
      <c r="E148">
        <f t="shared" si="19"/>
        <v>0</v>
      </c>
    </row>
    <row r="149" spans="1:5" x14ac:dyDescent="0.25">
      <c r="A149">
        <f t="shared" si="15"/>
        <v>390000000000</v>
      </c>
      <c r="B149">
        <f t="shared" si="20"/>
        <v>0</v>
      </c>
      <c r="C149">
        <f t="shared" si="18"/>
        <v>0</v>
      </c>
      <c r="D149">
        <f t="shared" si="18"/>
        <v>0</v>
      </c>
      <c r="E149">
        <f t="shared" si="19"/>
        <v>0</v>
      </c>
    </row>
    <row r="150" spans="1:5" x14ac:dyDescent="0.25">
      <c r="A150">
        <f t="shared" si="15"/>
        <v>470000000000</v>
      </c>
      <c r="B150">
        <f t="shared" si="20"/>
        <v>0</v>
      </c>
      <c r="C150">
        <f t="shared" si="18"/>
        <v>0</v>
      </c>
      <c r="D150">
        <f t="shared" si="18"/>
        <v>0</v>
      </c>
      <c r="E150">
        <f t="shared" si="19"/>
        <v>0</v>
      </c>
    </row>
    <row r="151" spans="1:5" x14ac:dyDescent="0.25">
      <c r="A151">
        <f t="shared" si="15"/>
        <v>560000000000</v>
      </c>
      <c r="B151">
        <f t="shared" si="20"/>
        <v>0</v>
      </c>
      <c r="C151">
        <f t="shared" si="18"/>
        <v>0</v>
      </c>
      <c r="D151">
        <f t="shared" si="18"/>
        <v>0</v>
      </c>
      <c r="E151">
        <f t="shared" si="19"/>
        <v>0</v>
      </c>
    </row>
    <row r="152" spans="1:5" x14ac:dyDescent="0.25">
      <c r="A152">
        <f t="shared" si="15"/>
        <v>680000000000</v>
      </c>
      <c r="B152">
        <f t="shared" si="20"/>
        <v>0</v>
      </c>
      <c r="C152">
        <f t="shared" si="18"/>
        <v>0</v>
      </c>
      <c r="D152">
        <f t="shared" si="18"/>
        <v>0</v>
      </c>
      <c r="E152">
        <f t="shared" si="19"/>
        <v>0</v>
      </c>
    </row>
    <row r="153" spans="1:5" x14ac:dyDescent="0.25">
      <c r="A153">
        <f t="shared" si="15"/>
        <v>820000000000</v>
      </c>
      <c r="B153">
        <f t="shared" si="20"/>
        <v>0</v>
      </c>
      <c r="C153">
        <f t="shared" si="18"/>
        <v>0</v>
      </c>
      <c r="D153">
        <f t="shared" si="18"/>
        <v>0</v>
      </c>
      <c r="E153">
        <f t="shared" si="19"/>
        <v>0</v>
      </c>
    </row>
    <row r="154" spans="1:5" x14ac:dyDescent="0.25">
      <c r="A154">
        <f t="shared" si="15"/>
        <v>1000000000000</v>
      </c>
      <c r="B154">
        <f t="shared" si="20"/>
        <v>0</v>
      </c>
      <c r="C154">
        <f t="shared" si="18"/>
        <v>0</v>
      </c>
      <c r="D154">
        <f t="shared" si="18"/>
        <v>0</v>
      </c>
      <c r="E154">
        <f t="shared" si="19"/>
        <v>0</v>
      </c>
    </row>
    <row r="155" spans="1:5" x14ac:dyDescent="0.25">
      <c r="A155">
        <f t="shared" si="15"/>
        <v>1200000000000</v>
      </c>
      <c r="B155">
        <f t="shared" si="20"/>
        <v>0</v>
      </c>
      <c r="C155">
        <f t="shared" si="18"/>
        <v>0</v>
      </c>
      <c r="D155">
        <f t="shared" si="18"/>
        <v>0</v>
      </c>
      <c r="E155">
        <f t="shared" si="19"/>
        <v>0</v>
      </c>
    </row>
    <row r="156" spans="1:5" x14ac:dyDescent="0.25">
      <c r="A156">
        <f t="shared" si="15"/>
        <v>1500000000000</v>
      </c>
      <c r="B156">
        <f t="shared" si="20"/>
        <v>0</v>
      </c>
      <c r="C156">
        <f t="shared" si="18"/>
        <v>0</v>
      </c>
      <c r="D156">
        <f t="shared" si="18"/>
        <v>0</v>
      </c>
      <c r="E156">
        <f t="shared" si="19"/>
        <v>0</v>
      </c>
    </row>
    <row r="157" spans="1:5" x14ac:dyDescent="0.25">
      <c r="A157">
        <f t="shared" si="15"/>
        <v>1800000000000</v>
      </c>
      <c r="B157">
        <f t="shared" si="20"/>
        <v>0</v>
      </c>
      <c r="C157">
        <f t="shared" si="18"/>
        <v>0</v>
      </c>
      <c r="D157">
        <f t="shared" si="18"/>
        <v>0</v>
      </c>
      <c r="E157">
        <f t="shared" si="19"/>
        <v>0</v>
      </c>
    </row>
    <row r="158" spans="1:5" x14ac:dyDescent="0.25">
      <c r="A158">
        <f t="shared" si="15"/>
        <v>2200000000000</v>
      </c>
      <c r="B158">
        <f t="shared" si="20"/>
        <v>0</v>
      </c>
      <c r="C158">
        <f t="shared" si="18"/>
        <v>0</v>
      </c>
      <c r="D158">
        <f t="shared" si="18"/>
        <v>2200000000000</v>
      </c>
      <c r="E158">
        <f t="shared" si="19"/>
        <v>0</v>
      </c>
    </row>
    <row r="159" spans="1:5" x14ac:dyDescent="0.25">
      <c r="A159" s="15">
        <f t="shared" si="15"/>
        <v>2700000000000</v>
      </c>
      <c r="B159">
        <f t="shared" si="20"/>
        <v>2700000000000</v>
      </c>
      <c r="C159">
        <f t="shared" si="18"/>
        <v>0</v>
      </c>
      <c r="D159">
        <f t="shared" si="18"/>
        <v>2700000000000</v>
      </c>
      <c r="E159">
        <f t="shared" si="19"/>
        <v>2700000000000</v>
      </c>
    </row>
  </sheetData>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Q55"/>
  <sheetViews>
    <sheetView topLeftCell="A4" zoomScaleNormal="100" workbookViewId="0">
      <selection activeCell="A29" sqref="A29"/>
    </sheetView>
  </sheetViews>
  <sheetFormatPr defaultRowHeight="13.2" x14ac:dyDescent="0.25"/>
  <cols>
    <col min="1" max="1" width="9.5546875" style="115" customWidth="1"/>
    <col min="2" max="2" width="11.44140625" style="115" customWidth="1"/>
    <col min="3" max="3" width="13.44140625" style="115" customWidth="1"/>
    <col min="4" max="4" width="20.109375" style="115" customWidth="1"/>
    <col min="5" max="5" width="17.33203125" style="115" customWidth="1"/>
    <col min="6" max="6" width="13.5546875" style="115" customWidth="1"/>
    <col min="7" max="7" width="16.109375" style="115" customWidth="1"/>
    <col min="8" max="8" width="18.109375" style="115" customWidth="1"/>
    <col min="9" max="9" width="10.88671875" style="115" customWidth="1"/>
    <col min="10" max="10" width="15.88671875" style="115" customWidth="1"/>
    <col min="11" max="11" width="11.88671875" style="475" customWidth="1"/>
    <col min="12" max="12" width="7.88671875" style="474" customWidth="1"/>
    <col min="13" max="13" width="11.6640625" style="115" customWidth="1"/>
    <col min="14" max="254" width="9.109375" style="115"/>
    <col min="255" max="255" width="8.6640625" style="115" bestFit="1" customWidth="1"/>
    <col min="256" max="256" width="13.33203125" style="115" customWidth="1"/>
    <col min="257" max="257" width="16.109375" style="115" bestFit="1" customWidth="1"/>
    <col min="258" max="258" width="23.5546875" style="115" customWidth="1"/>
    <col min="259" max="259" width="17.33203125" style="115" customWidth="1"/>
    <col min="260" max="260" width="20.5546875" style="115" bestFit="1" customWidth="1"/>
    <col min="261" max="261" width="17.109375" style="115" customWidth="1"/>
    <col min="262" max="262" width="21.88671875" style="115" bestFit="1" customWidth="1"/>
    <col min="263" max="263" width="17.109375" style="115" bestFit="1" customWidth="1"/>
    <col min="264" max="264" width="18.109375" style="115" bestFit="1" customWidth="1"/>
    <col min="265" max="265" width="26.44140625" style="115" customWidth="1"/>
    <col min="266" max="510" width="9.109375" style="115"/>
    <col min="511" max="511" width="8.6640625" style="115" bestFit="1" customWidth="1"/>
    <col min="512" max="512" width="13.33203125" style="115" customWidth="1"/>
    <col min="513" max="513" width="16.109375" style="115" bestFit="1" customWidth="1"/>
    <col min="514" max="514" width="23.5546875" style="115" customWidth="1"/>
    <col min="515" max="515" width="17.33203125" style="115" customWidth="1"/>
    <col min="516" max="516" width="20.5546875" style="115" bestFit="1" customWidth="1"/>
    <col min="517" max="517" width="17.109375" style="115" customWidth="1"/>
    <col min="518" max="518" width="21.88671875" style="115" bestFit="1" customWidth="1"/>
    <col min="519" max="519" width="17.109375" style="115" bestFit="1" customWidth="1"/>
    <col min="520" max="520" width="18.109375" style="115" bestFit="1" customWidth="1"/>
    <col min="521" max="521" width="26.44140625" style="115" customWidth="1"/>
    <col min="522" max="766" width="9.109375" style="115"/>
    <col min="767" max="767" width="8.6640625" style="115" bestFit="1" customWidth="1"/>
    <col min="768" max="768" width="13.33203125" style="115" customWidth="1"/>
    <col min="769" max="769" width="16.109375" style="115" bestFit="1" customWidth="1"/>
    <col min="770" max="770" width="23.5546875" style="115" customWidth="1"/>
    <col min="771" max="771" width="17.33203125" style="115" customWidth="1"/>
    <col min="772" max="772" width="20.5546875" style="115" bestFit="1" customWidth="1"/>
    <col min="773" max="773" width="17.109375" style="115" customWidth="1"/>
    <col min="774" max="774" width="21.88671875" style="115" bestFit="1" customWidth="1"/>
    <col min="775" max="775" width="17.109375" style="115" bestFit="1" customWidth="1"/>
    <col min="776" max="776" width="18.109375" style="115" bestFit="1" customWidth="1"/>
    <col min="777" max="777" width="26.44140625" style="115" customWidth="1"/>
    <col min="778" max="1022" width="9.109375" style="115"/>
    <col min="1023" max="1023" width="8.6640625" style="115" bestFit="1" customWidth="1"/>
    <col min="1024" max="1024" width="13.33203125" style="115" customWidth="1"/>
    <col min="1025" max="1025" width="16.109375" style="115" bestFit="1" customWidth="1"/>
    <col min="1026" max="1026" width="23.5546875" style="115" customWidth="1"/>
    <col min="1027" max="1027" width="17.33203125" style="115" customWidth="1"/>
    <col min="1028" max="1028" width="20.5546875" style="115" bestFit="1" customWidth="1"/>
    <col min="1029" max="1029" width="17.109375" style="115" customWidth="1"/>
    <col min="1030" max="1030" width="21.88671875" style="115" bestFit="1" customWidth="1"/>
    <col min="1031" max="1031" width="17.109375" style="115" bestFit="1" customWidth="1"/>
    <col min="1032" max="1032" width="18.109375" style="115" bestFit="1" customWidth="1"/>
    <col min="1033" max="1033" width="26.44140625" style="115" customWidth="1"/>
    <col min="1034" max="1278" width="9.109375" style="115"/>
    <col min="1279" max="1279" width="8.6640625" style="115" bestFit="1" customWidth="1"/>
    <col min="1280" max="1280" width="13.33203125" style="115" customWidth="1"/>
    <col min="1281" max="1281" width="16.109375" style="115" bestFit="1" customWidth="1"/>
    <col min="1282" max="1282" width="23.5546875" style="115" customWidth="1"/>
    <col min="1283" max="1283" width="17.33203125" style="115" customWidth="1"/>
    <col min="1284" max="1284" width="20.5546875" style="115" bestFit="1" customWidth="1"/>
    <col min="1285" max="1285" width="17.109375" style="115" customWidth="1"/>
    <col min="1286" max="1286" width="21.88671875" style="115" bestFit="1" customWidth="1"/>
    <col min="1287" max="1287" width="17.109375" style="115" bestFit="1" customWidth="1"/>
    <col min="1288" max="1288" width="18.109375" style="115" bestFit="1" customWidth="1"/>
    <col min="1289" max="1289" width="26.44140625" style="115" customWidth="1"/>
    <col min="1290" max="1534" width="9.109375" style="115"/>
    <col min="1535" max="1535" width="8.6640625" style="115" bestFit="1" customWidth="1"/>
    <col min="1536" max="1536" width="13.33203125" style="115" customWidth="1"/>
    <col min="1537" max="1537" width="16.109375" style="115" bestFit="1" customWidth="1"/>
    <col min="1538" max="1538" width="23.5546875" style="115" customWidth="1"/>
    <col min="1539" max="1539" width="17.33203125" style="115" customWidth="1"/>
    <col min="1540" max="1540" width="20.5546875" style="115" bestFit="1" customWidth="1"/>
    <col min="1541" max="1541" width="17.109375" style="115" customWidth="1"/>
    <col min="1542" max="1542" width="21.88671875" style="115" bestFit="1" customWidth="1"/>
    <col min="1543" max="1543" width="17.109375" style="115" bestFit="1" customWidth="1"/>
    <col min="1544" max="1544" width="18.109375" style="115" bestFit="1" customWidth="1"/>
    <col min="1545" max="1545" width="26.44140625" style="115" customWidth="1"/>
    <col min="1546" max="1790" width="9.109375" style="115"/>
    <col min="1791" max="1791" width="8.6640625" style="115" bestFit="1" customWidth="1"/>
    <col min="1792" max="1792" width="13.33203125" style="115" customWidth="1"/>
    <col min="1793" max="1793" width="16.109375" style="115" bestFit="1" customWidth="1"/>
    <col min="1794" max="1794" width="23.5546875" style="115" customWidth="1"/>
    <col min="1795" max="1795" width="17.33203125" style="115" customWidth="1"/>
    <col min="1796" max="1796" width="20.5546875" style="115" bestFit="1" customWidth="1"/>
    <col min="1797" max="1797" width="17.109375" style="115" customWidth="1"/>
    <col min="1798" max="1798" width="21.88671875" style="115" bestFit="1" customWidth="1"/>
    <col min="1799" max="1799" width="17.109375" style="115" bestFit="1" customWidth="1"/>
    <col min="1800" max="1800" width="18.109375" style="115" bestFit="1" customWidth="1"/>
    <col min="1801" max="1801" width="26.44140625" style="115" customWidth="1"/>
    <col min="1802" max="2046" width="9.109375" style="115"/>
    <col min="2047" max="2047" width="8.6640625" style="115" bestFit="1" customWidth="1"/>
    <col min="2048" max="2048" width="13.33203125" style="115" customWidth="1"/>
    <col min="2049" max="2049" width="16.109375" style="115" bestFit="1" customWidth="1"/>
    <col min="2050" max="2050" width="23.5546875" style="115" customWidth="1"/>
    <col min="2051" max="2051" width="17.33203125" style="115" customWidth="1"/>
    <col min="2052" max="2052" width="20.5546875" style="115" bestFit="1" customWidth="1"/>
    <col min="2053" max="2053" width="17.109375" style="115" customWidth="1"/>
    <col min="2054" max="2054" width="21.88671875" style="115" bestFit="1" customWidth="1"/>
    <col min="2055" max="2055" width="17.109375" style="115" bestFit="1" customWidth="1"/>
    <col min="2056" max="2056" width="18.109375" style="115" bestFit="1" customWidth="1"/>
    <col min="2057" max="2057" width="26.44140625" style="115" customWidth="1"/>
    <col min="2058" max="2302" width="9.109375" style="115"/>
    <col min="2303" max="2303" width="8.6640625" style="115" bestFit="1" customWidth="1"/>
    <col min="2304" max="2304" width="13.33203125" style="115" customWidth="1"/>
    <col min="2305" max="2305" width="16.109375" style="115" bestFit="1" customWidth="1"/>
    <col min="2306" max="2306" width="23.5546875" style="115" customWidth="1"/>
    <col min="2307" max="2307" width="17.33203125" style="115" customWidth="1"/>
    <col min="2308" max="2308" width="20.5546875" style="115" bestFit="1" customWidth="1"/>
    <col min="2309" max="2309" width="17.109375" style="115" customWidth="1"/>
    <col min="2310" max="2310" width="21.88671875" style="115" bestFit="1" customWidth="1"/>
    <col min="2311" max="2311" width="17.109375" style="115" bestFit="1" customWidth="1"/>
    <col min="2312" max="2312" width="18.109375" style="115" bestFit="1" customWidth="1"/>
    <col min="2313" max="2313" width="26.44140625" style="115" customWidth="1"/>
    <col min="2314" max="2558" width="9.109375" style="115"/>
    <col min="2559" max="2559" width="8.6640625" style="115" bestFit="1" customWidth="1"/>
    <col min="2560" max="2560" width="13.33203125" style="115" customWidth="1"/>
    <col min="2561" max="2561" width="16.109375" style="115" bestFit="1" customWidth="1"/>
    <col min="2562" max="2562" width="23.5546875" style="115" customWidth="1"/>
    <col min="2563" max="2563" width="17.33203125" style="115" customWidth="1"/>
    <col min="2564" max="2564" width="20.5546875" style="115" bestFit="1" customWidth="1"/>
    <col min="2565" max="2565" width="17.109375" style="115" customWidth="1"/>
    <col min="2566" max="2566" width="21.88671875" style="115" bestFit="1" customWidth="1"/>
    <col min="2567" max="2567" width="17.109375" style="115" bestFit="1" customWidth="1"/>
    <col min="2568" max="2568" width="18.109375" style="115" bestFit="1" customWidth="1"/>
    <col min="2569" max="2569" width="26.44140625" style="115" customWidth="1"/>
    <col min="2570" max="2814" width="9.109375" style="115"/>
    <col min="2815" max="2815" width="8.6640625" style="115" bestFit="1" customWidth="1"/>
    <col min="2816" max="2816" width="13.33203125" style="115" customWidth="1"/>
    <col min="2817" max="2817" width="16.109375" style="115" bestFit="1" customWidth="1"/>
    <col min="2818" max="2818" width="23.5546875" style="115" customWidth="1"/>
    <col min="2819" max="2819" width="17.33203125" style="115" customWidth="1"/>
    <col min="2820" max="2820" width="20.5546875" style="115" bestFit="1" customWidth="1"/>
    <col min="2821" max="2821" width="17.109375" style="115" customWidth="1"/>
    <col min="2822" max="2822" width="21.88671875" style="115" bestFit="1" customWidth="1"/>
    <col min="2823" max="2823" width="17.109375" style="115" bestFit="1" customWidth="1"/>
    <col min="2824" max="2824" width="18.109375" style="115" bestFit="1" customWidth="1"/>
    <col min="2825" max="2825" width="26.44140625" style="115" customWidth="1"/>
    <col min="2826" max="3070" width="9.109375" style="115"/>
    <col min="3071" max="3071" width="8.6640625" style="115" bestFit="1" customWidth="1"/>
    <col min="3072" max="3072" width="13.33203125" style="115" customWidth="1"/>
    <col min="3073" max="3073" width="16.109375" style="115" bestFit="1" customWidth="1"/>
    <col min="3074" max="3074" width="23.5546875" style="115" customWidth="1"/>
    <col min="3075" max="3075" width="17.33203125" style="115" customWidth="1"/>
    <col min="3076" max="3076" width="20.5546875" style="115" bestFit="1" customWidth="1"/>
    <col min="3077" max="3077" width="17.109375" style="115" customWidth="1"/>
    <col min="3078" max="3078" width="21.88671875" style="115" bestFit="1" customWidth="1"/>
    <col min="3079" max="3079" width="17.109375" style="115" bestFit="1" customWidth="1"/>
    <col min="3080" max="3080" width="18.109375" style="115" bestFit="1" customWidth="1"/>
    <col min="3081" max="3081" width="26.44140625" style="115" customWidth="1"/>
    <col min="3082" max="3326" width="9.109375" style="115"/>
    <col min="3327" max="3327" width="8.6640625" style="115" bestFit="1" customWidth="1"/>
    <col min="3328" max="3328" width="13.33203125" style="115" customWidth="1"/>
    <col min="3329" max="3329" width="16.109375" style="115" bestFit="1" customWidth="1"/>
    <col min="3330" max="3330" width="23.5546875" style="115" customWidth="1"/>
    <col min="3331" max="3331" width="17.33203125" style="115" customWidth="1"/>
    <col min="3332" max="3332" width="20.5546875" style="115" bestFit="1" customWidth="1"/>
    <col min="3333" max="3333" width="17.109375" style="115" customWidth="1"/>
    <col min="3334" max="3334" width="21.88671875" style="115" bestFit="1" customWidth="1"/>
    <col min="3335" max="3335" width="17.109375" style="115" bestFit="1" customWidth="1"/>
    <col min="3336" max="3336" width="18.109375" style="115" bestFit="1" customWidth="1"/>
    <col min="3337" max="3337" width="26.44140625" style="115" customWidth="1"/>
    <col min="3338" max="3582" width="9.109375" style="115"/>
    <col min="3583" max="3583" width="8.6640625" style="115" bestFit="1" customWidth="1"/>
    <col min="3584" max="3584" width="13.33203125" style="115" customWidth="1"/>
    <col min="3585" max="3585" width="16.109375" style="115" bestFit="1" customWidth="1"/>
    <col min="3586" max="3586" width="23.5546875" style="115" customWidth="1"/>
    <col min="3587" max="3587" width="17.33203125" style="115" customWidth="1"/>
    <col min="3588" max="3588" width="20.5546875" style="115" bestFit="1" customWidth="1"/>
    <col min="3589" max="3589" width="17.109375" style="115" customWidth="1"/>
    <col min="3590" max="3590" width="21.88671875" style="115" bestFit="1" customWidth="1"/>
    <col min="3591" max="3591" width="17.109375" style="115" bestFit="1" customWidth="1"/>
    <col min="3592" max="3592" width="18.109375" style="115" bestFit="1" customWidth="1"/>
    <col min="3593" max="3593" width="26.44140625" style="115" customWidth="1"/>
    <col min="3594" max="3838" width="9.109375" style="115"/>
    <col min="3839" max="3839" width="8.6640625" style="115" bestFit="1" customWidth="1"/>
    <col min="3840" max="3840" width="13.33203125" style="115" customWidth="1"/>
    <col min="3841" max="3841" width="16.109375" style="115" bestFit="1" customWidth="1"/>
    <col min="3842" max="3842" width="23.5546875" style="115" customWidth="1"/>
    <col min="3843" max="3843" width="17.33203125" style="115" customWidth="1"/>
    <col min="3844" max="3844" width="20.5546875" style="115" bestFit="1" customWidth="1"/>
    <col min="3845" max="3845" width="17.109375" style="115" customWidth="1"/>
    <col min="3846" max="3846" width="21.88671875" style="115" bestFit="1" customWidth="1"/>
    <col min="3847" max="3847" width="17.109375" style="115" bestFit="1" customWidth="1"/>
    <col min="3848" max="3848" width="18.109375" style="115" bestFit="1" customWidth="1"/>
    <col min="3849" max="3849" width="26.44140625" style="115" customWidth="1"/>
    <col min="3850" max="4094" width="9.109375" style="115"/>
    <col min="4095" max="4095" width="8.6640625" style="115" bestFit="1" customWidth="1"/>
    <col min="4096" max="4096" width="13.33203125" style="115" customWidth="1"/>
    <col min="4097" max="4097" width="16.109375" style="115" bestFit="1" customWidth="1"/>
    <col min="4098" max="4098" width="23.5546875" style="115" customWidth="1"/>
    <col min="4099" max="4099" width="17.33203125" style="115" customWidth="1"/>
    <col min="4100" max="4100" width="20.5546875" style="115" bestFit="1" customWidth="1"/>
    <col min="4101" max="4101" width="17.109375" style="115" customWidth="1"/>
    <col min="4102" max="4102" width="21.88671875" style="115" bestFit="1" customWidth="1"/>
    <col min="4103" max="4103" width="17.109375" style="115" bestFit="1" customWidth="1"/>
    <col min="4104" max="4104" width="18.109375" style="115" bestFit="1" customWidth="1"/>
    <col min="4105" max="4105" width="26.44140625" style="115" customWidth="1"/>
    <col min="4106" max="4350" width="9.109375" style="115"/>
    <col min="4351" max="4351" width="8.6640625" style="115" bestFit="1" customWidth="1"/>
    <col min="4352" max="4352" width="13.33203125" style="115" customWidth="1"/>
    <col min="4353" max="4353" width="16.109375" style="115" bestFit="1" customWidth="1"/>
    <col min="4354" max="4354" width="23.5546875" style="115" customWidth="1"/>
    <col min="4355" max="4355" width="17.33203125" style="115" customWidth="1"/>
    <col min="4356" max="4356" width="20.5546875" style="115" bestFit="1" customWidth="1"/>
    <col min="4357" max="4357" width="17.109375" style="115" customWidth="1"/>
    <col min="4358" max="4358" width="21.88671875" style="115" bestFit="1" customWidth="1"/>
    <col min="4359" max="4359" width="17.109375" style="115" bestFit="1" customWidth="1"/>
    <col min="4360" max="4360" width="18.109375" style="115" bestFit="1" customWidth="1"/>
    <col min="4361" max="4361" width="26.44140625" style="115" customWidth="1"/>
    <col min="4362" max="4606" width="9.109375" style="115"/>
    <col min="4607" max="4607" width="8.6640625" style="115" bestFit="1" customWidth="1"/>
    <col min="4608" max="4608" width="13.33203125" style="115" customWidth="1"/>
    <col min="4609" max="4609" width="16.109375" style="115" bestFit="1" customWidth="1"/>
    <col min="4610" max="4610" width="23.5546875" style="115" customWidth="1"/>
    <col min="4611" max="4611" width="17.33203125" style="115" customWidth="1"/>
    <col min="4612" max="4612" width="20.5546875" style="115" bestFit="1" customWidth="1"/>
    <col min="4613" max="4613" width="17.109375" style="115" customWidth="1"/>
    <col min="4614" max="4614" width="21.88671875" style="115" bestFit="1" customWidth="1"/>
    <col min="4615" max="4615" width="17.109375" style="115" bestFit="1" customWidth="1"/>
    <col min="4616" max="4616" width="18.109375" style="115" bestFit="1" customWidth="1"/>
    <col min="4617" max="4617" width="26.44140625" style="115" customWidth="1"/>
    <col min="4618" max="4862" width="9.109375" style="115"/>
    <col min="4863" max="4863" width="8.6640625" style="115" bestFit="1" customWidth="1"/>
    <col min="4864" max="4864" width="13.33203125" style="115" customWidth="1"/>
    <col min="4865" max="4865" width="16.109375" style="115" bestFit="1" customWidth="1"/>
    <col min="4866" max="4866" width="23.5546875" style="115" customWidth="1"/>
    <col min="4867" max="4867" width="17.33203125" style="115" customWidth="1"/>
    <col min="4868" max="4868" width="20.5546875" style="115" bestFit="1" customWidth="1"/>
    <col min="4869" max="4869" width="17.109375" style="115" customWidth="1"/>
    <col min="4870" max="4870" width="21.88671875" style="115" bestFit="1" customWidth="1"/>
    <col min="4871" max="4871" width="17.109375" style="115" bestFit="1" customWidth="1"/>
    <col min="4872" max="4872" width="18.109375" style="115" bestFit="1" customWidth="1"/>
    <col min="4873" max="4873" width="26.44140625" style="115" customWidth="1"/>
    <col min="4874" max="5118" width="9.109375" style="115"/>
    <col min="5119" max="5119" width="8.6640625" style="115" bestFit="1" customWidth="1"/>
    <col min="5120" max="5120" width="13.33203125" style="115" customWidth="1"/>
    <col min="5121" max="5121" width="16.109375" style="115" bestFit="1" customWidth="1"/>
    <col min="5122" max="5122" width="23.5546875" style="115" customWidth="1"/>
    <col min="5123" max="5123" width="17.33203125" style="115" customWidth="1"/>
    <col min="5124" max="5124" width="20.5546875" style="115" bestFit="1" customWidth="1"/>
    <col min="5125" max="5125" width="17.109375" style="115" customWidth="1"/>
    <col min="5126" max="5126" width="21.88671875" style="115" bestFit="1" customWidth="1"/>
    <col min="5127" max="5127" width="17.109375" style="115" bestFit="1" customWidth="1"/>
    <col min="5128" max="5128" width="18.109375" style="115" bestFit="1" customWidth="1"/>
    <col min="5129" max="5129" width="26.44140625" style="115" customWidth="1"/>
    <col min="5130" max="5374" width="9.109375" style="115"/>
    <col min="5375" max="5375" width="8.6640625" style="115" bestFit="1" customWidth="1"/>
    <col min="5376" max="5376" width="13.33203125" style="115" customWidth="1"/>
    <col min="5377" max="5377" width="16.109375" style="115" bestFit="1" customWidth="1"/>
    <col min="5378" max="5378" width="23.5546875" style="115" customWidth="1"/>
    <col min="5379" max="5379" width="17.33203125" style="115" customWidth="1"/>
    <col min="5380" max="5380" width="20.5546875" style="115" bestFit="1" customWidth="1"/>
    <col min="5381" max="5381" width="17.109375" style="115" customWidth="1"/>
    <col min="5382" max="5382" width="21.88671875" style="115" bestFit="1" customWidth="1"/>
    <col min="5383" max="5383" width="17.109375" style="115" bestFit="1" customWidth="1"/>
    <col min="5384" max="5384" width="18.109375" style="115" bestFit="1" customWidth="1"/>
    <col min="5385" max="5385" width="26.44140625" style="115" customWidth="1"/>
    <col min="5386" max="5630" width="9.109375" style="115"/>
    <col min="5631" max="5631" width="8.6640625" style="115" bestFit="1" customWidth="1"/>
    <col min="5632" max="5632" width="13.33203125" style="115" customWidth="1"/>
    <col min="5633" max="5633" width="16.109375" style="115" bestFit="1" customWidth="1"/>
    <col min="5634" max="5634" width="23.5546875" style="115" customWidth="1"/>
    <col min="5635" max="5635" width="17.33203125" style="115" customWidth="1"/>
    <col min="5636" max="5636" width="20.5546875" style="115" bestFit="1" customWidth="1"/>
    <col min="5637" max="5637" width="17.109375" style="115" customWidth="1"/>
    <col min="5638" max="5638" width="21.88671875" style="115" bestFit="1" customWidth="1"/>
    <col min="5639" max="5639" width="17.109375" style="115" bestFit="1" customWidth="1"/>
    <col min="5640" max="5640" width="18.109375" style="115" bestFit="1" customWidth="1"/>
    <col min="5641" max="5641" width="26.44140625" style="115" customWidth="1"/>
    <col min="5642" max="5886" width="9.109375" style="115"/>
    <col min="5887" max="5887" width="8.6640625" style="115" bestFit="1" customWidth="1"/>
    <col min="5888" max="5888" width="13.33203125" style="115" customWidth="1"/>
    <col min="5889" max="5889" width="16.109375" style="115" bestFit="1" customWidth="1"/>
    <col min="5890" max="5890" width="23.5546875" style="115" customWidth="1"/>
    <col min="5891" max="5891" width="17.33203125" style="115" customWidth="1"/>
    <col min="5892" max="5892" width="20.5546875" style="115" bestFit="1" customWidth="1"/>
    <col min="5893" max="5893" width="17.109375" style="115" customWidth="1"/>
    <col min="5894" max="5894" width="21.88671875" style="115" bestFit="1" customWidth="1"/>
    <col min="5895" max="5895" width="17.109375" style="115" bestFit="1" customWidth="1"/>
    <col min="5896" max="5896" width="18.109375" style="115" bestFit="1" customWidth="1"/>
    <col min="5897" max="5897" width="26.44140625" style="115" customWidth="1"/>
    <col min="5898" max="6142" width="9.109375" style="115"/>
    <col min="6143" max="6143" width="8.6640625" style="115" bestFit="1" customWidth="1"/>
    <col min="6144" max="6144" width="13.33203125" style="115" customWidth="1"/>
    <col min="6145" max="6145" width="16.109375" style="115" bestFit="1" customWidth="1"/>
    <col min="6146" max="6146" width="23.5546875" style="115" customWidth="1"/>
    <col min="6147" max="6147" width="17.33203125" style="115" customWidth="1"/>
    <col min="6148" max="6148" width="20.5546875" style="115" bestFit="1" customWidth="1"/>
    <col min="6149" max="6149" width="17.109375" style="115" customWidth="1"/>
    <col min="6150" max="6150" width="21.88671875" style="115" bestFit="1" customWidth="1"/>
    <col min="6151" max="6151" width="17.109375" style="115" bestFit="1" customWidth="1"/>
    <col min="6152" max="6152" width="18.109375" style="115" bestFit="1" customWidth="1"/>
    <col min="6153" max="6153" width="26.44140625" style="115" customWidth="1"/>
    <col min="6154" max="6398" width="9.109375" style="115"/>
    <col min="6399" max="6399" width="8.6640625" style="115" bestFit="1" customWidth="1"/>
    <col min="6400" max="6400" width="13.33203125" style="115" customWidth="1"/>
    <col min="6401" max="6401" width="16.109375" style="115" bestFit="1" customWidth="1"/>
    <col min="6402" max="6402" width="23.5546875" style="115" customWidth="1"/>
    <col min="6403" max="6403" width="17.33203125" style="115" customWidth="1"/>
    <col min="6404" max="6404" width="20.5546875" style="115" bestFit="1" customWidth="1"/>
    <col min="6405" max="6405" width="17.109375" style="115" customWidth="1"/>
    <col min="6406" max="6406" width="21.88671875" style="115" bestFit="1" customWidth="1"/>
    <col min="6407" max="6407" width="17.109375" style="115" bestFit="1" customWidth="1"/>
    <col min="6408" max="6408" width="18.109375" style="115" bestFit="1" customWidth="1"/>
    <col min="6409" max="6409" width="26.44140625" style="115" customWidth="1"/>
    <col min="6410" max="6654" width="9.109375" style="115"/>
    <col min="6655" max="6655" width="8.6640625" style="115" bestFit="1" customWidth="1"/>
    <col min="6656" max="6656" width="13.33203125" style="115" customWidth="1"/>
    <col min="6657" max="6657" width="16.109375" style="115" bestFit="1" customWidth="1"/>
    <col min="6658" max="6658" width="23.5546875" style="115" customWidth="1"/>
    <col min="6659" max="6659" width="17.33203125" style="115" customWidth="1"/>
    <col min="6660" max="6660" width="20.5546875" style="115" bestFit="1" customWidth="1"/>
    <col min="6661" max="6661" width="17.109375" style="115" customWidth="1"/>
    <col min="6662" max="6662" width="21.88671875" style="115" bestFit="1" customWidth="1"/>
    <col min="6663" max="6663" width="17.109375" style="115" bestFit="1" customWidth="1"/>
    <col min="6664" max="6664" width="18.109375" style="115" bestFit="1" customWidth="1"/>
    <col min="6665" max="6665" width="26.44140625" style="115" customWidth="1"/>
    <col min="6666" max="6910" width="9.109375" style="115"/>
    <col min="6911" max="6911" width="8.6640625" style="115" bestFit="1" customWidth="1"/>
    <col min="6912" max="6912" width="13.33203125" style="115" customWidth="1"/>
    <col min="6913" max="6913" width="16.109375" style="115" bestFit="1" customWidth="1"/>
    <col min="6914" max="6914" width="23.5546875" style="115" customWidth="1"/>
    <col min="6915" max="6915" width="17.33203125" style="115" customWidth="1"/>
    <col min="6916" max="6916" width="20.5546875" style="115" bestFit="1" customWidth="1"/>
    <col min="6917" max="6917" width="17.109375" style="115" customWidth="1"/>
    <col min="6918" max="6918" width="21.88671875" style="115" bestFit="1" customWidth="1"/>
    <col min="6919" max="6919" width="17.109375" style="115" bestFit="1" customWidth="1"/>
    <col min="6920" max="6920" width="18.109375" style="115" bestFit="1" customWidth="1"/>
    <col min="6921" max="6921" width="26.44140625" style="115" customWidth="1"/>
    <col min="6922" max="7166" width="9.109375" style="115"/>
    <col min="7167" max="7167" width="8.6640625" style="115" bestFit="1" customWidth="1"/>
    <col min="7168" max="7168" width="13.33203125" style="115" customWidth="1"/>
    <col min="7169" max="7169" width="16.109375" style="115" bestFit="1" customWidth="1"/>
    <col min="7170" max="7170" width="23.5546875" style="115" customWidth="1"/>
    <col min="7171" max="7171" width="17.33203125" style="115" customWidth="1"/>
    <col min="7172" max="7172" width="20.5546875" style="115" bestFit="1" customWidth="1"/>
    <col min="7173" max="7173" width="17.109375" style="115" customWidth="1"/>
    <col min="7174" max="7174" width="21.88671875" style="115" bestFit="1" customWidth="1"/>
    <col min="7175" max="7175" width="17.109375" style="115" bestFit="1" customWidth="1"/>
    <col min="7176" max="7176" width="18.109375" style="115" bestFit="1" customWidth="1"/>
    <col min="7177" max="7177" width="26.44140625" style="115" customWidth="1"/>
    <col min="7178" max="7422" width="9.109375" style="115"/>
    <col min="7423" max="7423" width="8.6640625" style="115" bestFit="1" customWidth="1"/>
    <col min="7424" max="7424" width="13.33203125" style="115" customWidth="1"/>
    <col min="7425" max="7425" width="16.109375" style="115" bestFit="1" customWidth="1"/>
    <col min="7426" max="7426" width="23.5546875" style="115" customWidth="1"/>
    <col min="7427" max="7427" width="17.33203125" style="115" customWidth="1"/>
    <col min="7428" max="7428" width="20.5546875" style="115" bestFit="1" customWidth="1"/>
    <col min="7429" max="7429" width="17.109375" style="115" customWidth="1"/>
    <col min="7430" max="7430" width="21.88671875" style="115" bestFit="1" customWidth="1"/>
    <col min="7431" max="7431" width="17.109375" style="115" bestFit="1" customWidth="1"/>
    <col min="7432" max="7432" width="18.109375" style="115" bestFit="1" customWidth="1"/>
    <col min="7433" max="7433" width="26.44140625" style="115" customWidth="1"/>
    <col min="7434" max="7678" width="9.109375" style="115"/>
    <col min="7679" max="7679" width="8.6640625" style="115" bestFit="1" customWidth="1"/>
    <col min="7680" max="7680" width="13.33203125" style="115" customWidth="1"/>
    <col min="7681" max="7681" width="16.109375" style="115" bestFit="1" customWidth="1"/>
    <col min="7682" max="7682" width="23.5546875" style="115" customWidth="1"/>
    <col min="7683" max="7683" width="17.33203125" style="115" customWidth="1"/>
    <col min="7684" max="7684" width="20.5546875" style="115" bestFit="1" customWidth="1"/>
    <col min="7685" max="7685" width="17.109375" style="115" customWidth="1"/>
    <col min="7686" max="7686" width="21.88671875" style="115" bestFit="1" customWidth="1"/>
    <col min="7687" max="7687" width="17.109375" style="115" bestFit="1" customWidth="1"/>
    <col min="7688" max="7688" width="18.109375" style="115" bestFit="1" customWidth="1"/>
    <col min="7689" max="7689" width="26.44140625" style="115" customWidth="1"/>
    <col min="7690" max="7934" width="9.109375" style="115"/>
    <col min="7935" max="7935" width="8.6640625" style="115" bestFit="1" customWidth="1"/>
    <col min="7936" max="7936" width="13.33203125" style="115" customWidth="1"/>
    <col min="7937" max="7937" width="16.109375" style="115" bestFit="1" customWidth="1"/>
    <col min="7938" max="7938" width="23.5546875" style="115" customWidth="1"/>
    <col min="7939" max="7939" width="17.33203125" style="115" customWidth="1"/>
    <col min="7940" max="7940" width="20.5546875" style="115" bestFit="1" customWidth="1"/>
    <col min="7941" max="7941" width="17.109375" style="115" customWidth="1"/>
    <col min="7942" max="7942" width="21.88671875" style="115" bestFit="1" customWidth="1"/>
    <col min="7943" max="7943" width="17.109375" style="115" bestFit="1" customWidth="1"/>
    <col min="7944" max="7944" width="18.109375" style="115" bestFit="1" customWidth="1"/>
    <col min="7945" max="7945" width="26.44140625" style="115" customWidth="1"/>
    <col min="7946" max="8190" width="9.109375" style="115"/>
    <col min="8191" max="8191" width="8.6640625" style="115" bestFit="1" customWidth="1"/>
    <col min="8192" max="8192" width="13.33203125" style="115" customWidth="1"/>
    <col min="8193" max="8193" width="16.109375" style="115" bestFit="1" customWidth="1"/>
    <col min="8194" max="8194" width="23.5546875" style="115" customWidth="1"/>
    <col min="8195" max="8195" width="17.33203125" style="115" customWidth="1"/>
    <col min="8196" max="8196" width="20.5546875" style="115" bestFit="1" customWidth="1"/>
    <col min="8197" max="8197" width="17.109375" style="115" customWidth="1"/>
    <col min="8198" max="8198" width="21.88671875" style="115" bestFit="1" customWidth="1"/>
    <col min="8199" max="8199" width="17.109375" style="115" bestFit="1" customWidth="1"/>
    <col min="8200" max="8200" width="18.109375" style="115" bestFit="1" customWidth="1"/>
    <col min="8201" max="8201" width="26.44140625" style="115" customWidth="1"/>
    <col min="8202" max="8446" width="9.109375" style="115"/>
    <col min="8447" max="8447" width="8.6640625" style="115" bestFit="1" customWidth="1"/>
    <col min="8448" max="8448" width="13.33203125" style="115" customWidth="1"/>
    <col min="8449" max="8449" width="16.109375" style="115" bestFit="1" customWidth="1"/>
    <col min="8450" max="8450" width="23.5546875" style="115" customWidth="1"/>
    <col min="8451" max="8451" width="17.33203125" style="115" customWidth="1"/>
    <col min="8452" max="8452" width="20.5546875" style="115" bestFit="1" customWidth="1"/>
    <col min="8453" max="8453" width="17.109375" style="115" customWidth="1"/>
    <col min="8454" max="8454" width="21.88671875" style="115" bestFit="1" customWidth="1"/>
    <col min="8455" max="8455" width="17.109375" style="115" bestFit="1" customWidth="1"/>
    <col min="8456" max="8456" width="18.109375" style="115" bestFit="1" customWidth="1"/>
    <col min="8457" max="8457" width="26.44140625" style="115" customWidth="1"/>
    <col min="8458" max="8702" width="9.109375" style="115"/>
    <col min="8703" max="8703" width="8.6640625" style="115" bestFit="1" customWidth="1"/>
    <col min="8704" max="8704" width="13.33203125" style="115" customWidth="1"/>
    <col min="8705" max="8705" width="16.109375" style="115" bestFit="1" customWidth="1"/>
    <col min="8706" max="8706" width="23.5546875" style="115" customWidth="1"/>
    <col min="8707" max="8707" width="17.33203125" style="115" customWidth="1"/>
    <col min="8708" max="8708" width="20.5546875" style="115" bestFit="1" customWidth="1"/>
    <col min="8709" max="8709" width="17.109375" style="115" customWidth="1"/>
    <col min="8710" max="8710" width="21.88671875" style="115" bestFit="1" customWidth="1"/>
    <col min="8711" max="8711" width="17.109375" style="115" bestFit="1" customWidth="1"/>
    <col min="8712" max="8712" width="18.109375" style="115" bestFit="1" customWidth="1"/>
    <col min="8713" max="8713" width="26.44140625" style="115" customWidth="1"/>
    <col min="8714" max="8958" width="9.109375" style="115"/>
    <col min="8959" max="8959" width="8.6640625" style="115" bestFit="1" customWidth="1"/>
    <col min="8960" max="8960" width="13.33203125" style="115" customWidth="1"/>
    <col min="8961" max="8961" width="16.109375" style="115" bestFit="1" customWidth="1"/>
    <col min="8962" max="8962" width="23.5546875" style="115" customWidth="1"/>
    <col min="8963" max="8963" width="17.33203125" style="115" customWidth="1"/>
    <col min="8964" max="8964" width="20.5546875" style="115" bestFit="1" customWidth="1"/>
    <col min="8965" max="8965" width="17.109375" style="115" customWidth="1"/>
    <col min="8966" max="8966" width="21.88671875" style="115" bestFit="1" customWidth="1"/>
    <col min="8967" max="8967" width="17.109375" style="115" bestFit="1" customWidth="1"/>
    <col min="8968" max="8968" width="18.109375" style="115" bestFit="1" customWidth="1"/>
    <col min="8969" max="8969" width="26.44140625" style="115" customWidth="1"/>
    <col min="8970" max="9214" width="9.109375" style="115"/>
    <col min="9215" max="9215" width="8.6640625" style="115" bestFit="1" customWidth="1"/>
    <col min="9216" max="9216" width="13.33203125" style="115" customWidth="1"/>
    <col min="9217" max="9217" width="16.109375" style="115" bestFit="1" customWidth="1"/>
    <col min="9218" max="9218" width="23.5546875" style="115" customWidth="1"/>
    <col min="9219" max="9219" width="17.33203125" style="115" customWidth="1"/>
    <col min="9220" max="9220" width="20.5546875" style="115" bestFit="1" customWidth="1"/>
    <col min="9221" max="9221" width="17.109375" style="115" customWidth="1"/>
    <col min="9222" max="9222" width="21.88671875" style="115" bestFit="1" customWidth="1"/>
    <col min="9223" max="9223" width="17.109375" style="115" bestFit="1" customWidth="1"/>
    <col min="9224" max="9224" width="18.109375" style="115" bestFit="1" customWidth="1"/>
    <col min="9225" max="9225" width="26.44140625" style="115" customWidth="1"/>
    <col min="9226" max="9470" width="9.109375" style="115"/>
    <col min="9471" max="9471" width="8.6640625" style="115" bestFit="1" customWidth="1"/>
    <col min="9472" max="9472" width="13.33203125" style="115" customWidth="1"/>
    <col min="9473" max="9473" width="16.109375" style="115" bestFit="1" customWidth="1"/>
    <col min="9474" max="9474" width="23.5546875" style="115" customWidth="1"/>
    <col min="9475" max="9475" width="17.33203125" style="115" customWidth="1"/>
    <col min="9476" max="9476" width="20.5546875" style="115" bestFit="1" customWidth="1"/>
    <col min="9477" max="9477" width="17.109375" style="115" customWidth="1"/>
    <col min="9478" max="9478" width="21.88671875" style="115" bestFit="1" customWidth="1"/>
    <col min="9479" max="9479" width="17.109375" style="115" bestFit="1" customWidth="1"/>
    <col min="9480" max="9480" width="18.109375" style="115" bestFit="1" customWidth="1"/>
    <col min="9481" max="9481" width="26.44140625" style="115" customWidth="1"/>
    <col min="9482" max="9726" width="9.109375" style="115"/>
    <col min="9727" max="9727" width="8.6640625" style="115" bestFit="1" customWidth="1"/>
    <col min="9728" max="9728" width="13.33203125" style="115" customWidth="1"/>
    <col min="9729" max="9729" width="16.109375" style="115" bestFit="1" customWidth="1"/>
    <col min="9730" max="9730" width="23.5546875" style="115" customWidth="1"/>
    <col min="9731" max="9731" width="17.33203125" style="115" customWidth="1"/>
    <col min="9732" max="9732" width="20.5546875" style="115" bestFit="1" customWidth="1"/>
    <col min="9733" max="9733" width="17.109375" style="115" customWidth="1"/>
    <col min="9734" max="9734" width="21.88671875" style="115" bestFit="1" customWidth="1"/>
    <col min="9735" max="9735" width="17.109375" style="115" bestFit="1" customWidth="1"/>
    <col min="9736" max="9736" width="18.109375" style="115" bestFit="1" customWidth="1"/>
    <col min="9737" max="9737" width="26.44140625" style="115" customWidth="1"/>
    <col min="9738" max="9982" width="9.109375" style="115"/>
    <col min="9983" max="9983" width="8.6640625" style="115" bestFit="1" customWidth="1"/>
    <col min="9984" max="9984" width="13.33203125" style="115" customWidth="1"/>
    <col min="9985" max="9985" width="16.109375" style="115" bestFit="1" customWidth="1"/>
    <col min="9986" max="9986" width="23.5546875" style="115" customWidth="1"/>
    <col min="9987" max="9987" width="17.33203125" style="115" customWidth="1"/>
    <col min="9988" max="9988" width="20.5546875" style="115" bestFit="1" customWidth="1"/>
    <col min="9989" max="9989" width="17.109375" style="115" customWidth="1"/>
    <col min="9990" max="9990" width="21.88671875" style="115" bestFit="1" customWidth="1"/>
    <col min="9991" max="9991" width="17.109375" style="115" bestFit="1" customWidth="1"/>
    <col min="9992" max="9992" width="18.109375" style="115" bestFit="1" customWidth="1"/>
    <col min="9993" max="9993" width="26.44140625" style="115" customWidth="1"/>
    <col min="9994" max="10238" width="9.109375" style="115"/>
    <col min="10239" max="10239" width="8.6640625" style="115" bestFit="1" customWidth="1"/>
    <col min="10240" max="10240" width="13.33203125" style="115" customWidth="1"/>
    <col min="10241" max="10241" width="16.109375" style="115" bestFit="1" customWidth="1"/>
    <col min="10242" max="10242" width="23.5546875" style="115" customWidth="1"/>
    <col min="10243" max="10243" width="17.33203125" style="115" customWidth="1"/>
    <col min="10244" max="10244" width="20.5546875" style="115" bestFit="1" customWidth="1"/>
    <col min="10245" max="10245" width="17.109375" style="115" customWidth="1"/>
    <col min="10246" max="10246" width="21.88671875" style="115" bestFit="1" customWidth="1"/>
    <col min="10247" max="10247" width="17.109375" style="115" bestFit="1" customWidth="1"/>
    <col min="10248" max="10248" width="18.109375" style="115" bestFit="1" customWidth="1"/>
    <col min="10249" max="10249" width="26.44140625" style="115" customWidth="1"/>
    <col min="10250" max="10494" width="9.109375" style="115"/>
    <col min="10495" max="10495" width="8.6640625" style="115" bestFit="1" customWidth="1"/>
    <col min="10496" max="10496" width="13.33203125" style="115" customWidth="1"/>
    <col min="10497" max="10497" width="16.109375" style="115" bestFit="1" customWidth="1"/>
    <col min="10498" max="10498" width="23.5546875" style="115" customWidth="1"/>
    <col min="10499" max="10499" width="17.33203125" style="115" customWidth="1"/>
    <col min="10500" max="10500" width="20.5546875" style="115" bestFit="1" customWidth="1"/>
    <col min="10501" max="10501" width="17.109375" style="115" customWidth="1"/>
    <col min="10502" max="10502" width="21.88671875" style="115" bestFit="1" customWidth="1"/>
    <col min="10503" max="10503" width="17.109375" style="115" bestFit="1" customWidth="1"/>
    <col min="10504" max="10504" width="18.109375" style="115" bestFit="1" customWidth="1"/>
    <col min="10505" max="10505" width="26.44140625" style="115" customWidth="1"/>
    <col min="10506" max="10750" width="9.109375" style="115"/>
    <col min="10751" max="10751" width="8.6640625" style="115" bestFit="1" customWidth="1"/>
    <col min="10752" max="10752" width="13.33203125" style="115" customWidth="1"/>
    <col min="10753" max="10753" width="16.109375" style="115" bestFit="1" customWidth="1"/>
    <col min="10754" max="10754" width="23.5546875" style="115" customWidth="1"/>
    <col min="10755" max="10755" width="17.33203125" style="115" customWidth="1"/>
    <col min="10756" max="10756" width="20.5546875" style="115" bestFit="1" customWidth="1"/>
    <col min="10757" max="10757" width="17.109375" style="115" customWidth="1"/>
    <col min="10758" max="10758" width="21.88671875" style="115" bestFit="1" customWidth="1"/>
    <col min="10759" max="10759" width="17.109375" style="115" bestFit="1" customWidth="1"/>
    <col min="10760" max="10760" width="18.109375" style="115" bestFit="1" customWidth="1"/>
    <col min="10761" max="10761" width="26.44140625" style="115" customWidth="1"/>
    <col min="10762" max="11006" width="9.109375" style="115"/>
    <col min="11007" max="11007" width="8.6640625" style="115" bestFit="1" customWidth="1"/>
    <col min="11008" max="11008" width="13.33203125" style="115" customWidth="1"/>
    <col min="11009" max="11009" width="16.109375" style="115" bestFit="1" customWidth="1"/>
    <col min="11010" max="11010" width="23.5546875" style="115" customWidth="1"/>
    <col min="11011" max="11011" width="17.33203125" style="115" customWidth="1"/>
    <col min="11012" max="11012" width="20.5546875" style="115" bestFit="1" customWidth="1"/>
    <col min="11013" max="11013" width="17.109375" style="115" customWidth="1"/>
    <col min="11014" max="11014" width="21.88671875" style="115" bestFit="1" customWidth="1"/>
    <col min="11015" max="11015" width="17.109375" style="115" bestFit="1" customWidth="1"/>
    <col min="11016" max="11016" width="18.109375" style="115" bestFit="1" customWidth="1"/>
    <col min="11017" max="11017" width="26.44140625" style="115" customWidth="1"/>
    <col min="11018" max="11262" width="9.109375" style="115"/>
    <col min="11263" max="11263" width="8.6640625" style="115" bestFit="1" customWidth="1"/>
    <col min="11264" max="11264" width="13.33203125" style="115" customWidth="1"/>
    <col min="11265" max="11265" width="16.109375" style="115" bestFit="1" customWidth="1"/>
    <col min="11266" max="11266" width="23.5546875" style="115" customWidth="1"/>
    <col min="11267" max="11267" width="17.33203125" style="115" customWidth="1"/>
    <col min="11268" max="11268" width="20.5546875" style="115" bestFit="1" customWidth="1"/>
    <col min="11269" max="11269" width="17.109375" style="115" customWidth="1"/>
    <col min="11270" max="11270" width="21.88671875" style="115" bestFit="1" customWidth="1"/>
    <col min="11271" max="11271" width="17.109375" style="115" bestFit="1" customWidth="1"/>
    <col min="11272" max="11272" width="18.109375" style="115" bestFit="1" customWidth="1"/>
    <col min="11273" max="11273" width="26.44140625" style="115" customWidth="1"/>
    <col min="11274" max="11518" width="9.109375" style="115"/>
    <col min="11519" max="11519" width="8.6640625" style="115" bestFit="1" customWidth="1"/>
    <col min="11520" max="11520" width="13.33203125" style="115" customWidth="1"/>
    <col min="11521" max="11521" width="16.109375" style="115" bestFit="1" customWidth="1"/>
    <col min="11522" max="11522" width="23.5546875" style="115" customWidth="1"/>
    <col min="11523" max="11523" width="17.33203125" style="115" customWidth="1"/>
    <col min="11524" max="11524" width="20.5546875" style="115" bestFit="1" customWidth="1"/>
    <col min="11525" max="11525" width="17.109375" style="115" customWidth="1"/>
    <col min="11526" max="11526" width="21.88671875" style="115" bestFit="1" customWidth="1"/>
    <col min="11527" max="11527" width="17.109375" style="115" bestFit="1" customWidth="1"/>
    <col min="11528" max="11528" width="18.109375" style="115" bestFit="1" customWidth="1"/>
    <col min="11529" max="11529" width="26.44140625" style="115" customWidth="1"/>
    <col min="11530" max="11774" width="9.109375" style="115"/>
    <col min="11775" max="11775" width="8.6640625" style="115" bestFit="1" customWidth="1"/>
    <col min="11776" max="11776" width="13.33203125" style="115" customWidth="1"/>
    <col min="11777" max="11777" width="16.109375" style="115" bestFit="1" customWidth="1"/>
    <col min="11778" max="11778" width="23.5546875" style="115" customWidth="1"/>
    <col min="11779" max="11779" width="17.33203125" style="115" customWidth="1"/>
    <col min="11780" max="11780" width="20.5546875" style="115" bestFit="1" customWidth="1"/>
    <col min="11781" max="11781" width="17.109375" style="115" customWidth="1"/>
    <col min="11782" max="11782" width="21.88671875" style="115" bestFit="1" customWidth="1"/>
    <col min="11783" max="11783" width="17.109375" style="115" bestFit="1" customWidth="1"/>
    <col min="11784" max="11784" width="18.109375" style="115" bestFit="1" customWidth="1"/>
    <col min="11785" max="11785" width="26.44140625" style="115" customWidth="1"/>
    <col min="11786" max="12030" width="9.109375" style="115"/>
    <col min="12031" max="12031" width="8.6640625" style="115" bestFit="1" customWidth="1"/>
    <col min="12032" max="12032" width="13.33203125" style="115" customWidth="1"/>
    <col min="12033" max="12033" width="16.109375" style="115" bestFit="1" customWidth="1"/>
    <col min="12034" max="12034" width="23.5546875" style="115" customWidth="1"/>
    <col min="12035" max="12035" width="17.33203125" style="115" customWidth="1"/>
    <col min="12036" max="12036" width="20.5546875" style="115" bestFit="1" customWidth="1"/>
    <col min="12037" max="12037" width="17.109375" style="115" customWidth="1"/>
    <col min="12038" max="12038" width="21.88671875" style="115" bestFit="1" customWidth="1"/>
    <col min="12039" max="12039" width="17.109375" style="115" bestFit="1" customWidth="1"/>
    <col min="12040" max="12040" width="18.109375" style="115" bestFit="1" customWidth="1"/>
    <col min="12041" max="12041" width="26.44140625" style="115" customWidth="1"/>
    <col min="12042" max="12286" width="9.109375" style="115"/>
    <col min="12287" max="12287" width="8.6640625" style="115" bestFit="1" customWidth="1"/>
    <col min="12288" max="12288" width="13.33203125" style="115" customWidth="1"/>
    <col min="12289" max="12289" width="16.109375" style="115" bestFit="1" customWidth="1"/>
    <col min="12290" max="12290" width="23.5546875" style="115" customWidth="1"/>
    <col min="12291" max="12291" width="17.33203125" style="115" customWidth="1"/>
    <col min="12292" max="12292" width="20.5546875" style="115" bestFit="1" customWidth="1"/>
    <col min="12293" max="12293" width="17.109375" style="115" customWidth="1"/>
    <col min="12294" max="12294" width="21.88671875" style="115" bestFit="1" customWidth="1"/>
    <col min="12295" max="12295" width="17.109375" style="115" bestFit="1" customWidth="1"/>
    <col min="12296" max="12296" width="18.109375" style="115" bestFit="1" customWidth="1"/>
    <col min="12297" max="12297" width="26.44140625" style="115" customWidth="1"/>
    <col min="12298" max="12542" width="9.109375" style="115"/>
    <col min="12543" max="12543" width="8.6640625" style="115" bestFit="1" customWidth="1"/>
    <col min="12544" max="12544" width="13.33203125" style="115" customWidth="1"/>
    <col min="12545" max="12545" width="16.109375" style="115" bestFit="1" customWidth="1"/>
    <col min="12546" max="12546" width="23.5546875" style="115" customWidth="1"/>
    <col min="12547" max="12547" width="17.33203125" style="115" customWidth="1"/>
    <col min="12548" max="12548" width="20.5546875" style="115" bestFit="1" customWidth="1"/>
    <col min="12549" max="12549" width="17.109375" style="115" customWidth="1"/>
    <col min="12550" max="12550" width="21.88671875" style="115" bestFit="1" customWidth="1"/>
    <col min="12551" max="12551" width="17.109375" style="115" bestFit="1" customWidth="1"/>
    <col min="12552" max="12552" width="18.109375" style="115" bestFit="1" customWidth="1"/>
    <col min="12553" max="12553" width="26.44140625" style="115" customWidth="1"/>
    <col min="12554" max="12798" width="9.109375" style="115"/>
    <col min="12799" max="12799" width="8.6640625" style="115" bestFit="1" customWidth="1"/>
    <col min="12800" max="12800" width="13.33203125" style="115" customWidth="1"/>
    <col min="12801" max="12801" width="16.109375" style="115" bestFit="1" customWidth="1"/>
    <col min="12802" max="12802" width="23.5546875" style="115" customWidth="1"/>
    <col min="12803" max="12803" width="17.33203125" style="115" customWidth="1"/>
    <col min="12804" max="12804" width="20.5546875" style="115" bestFit="1" customWidth="1"/>
    <col min="12805" max="12805" width="17.109375" style="115" customWidth="1"/>
    <col min="12806" max="12806" width="21.88671875" style="115" bestFit="1" customWidth="1"/>
    <col min="12807" max="12807" width="17.109375" style="115" bestFit="1" customWidth="1"/>
    <col min="12808" max="12808" width="18.109375" style="115" bestFit="1" customWidth="1"/>
    <col min="12809" max="12809" width="26.44140625" style="115" customWidth="1"/>
    <col min="12810" max="13054" width="9.109375" style="115"/>
    <col min="13055" max="13055" width="8.6640625" style="115" bestFit="1" customWidth="1"/>
    <col min="13056" max="13056" width="13.33203125" style="115" customWidth="1"/>
    <col min="13057" max="13057" width="16.109375" style="115" bestFit="1" customWidth="1"/>
    <col min="13058" max="13058" width="23.5546875" style="115" customWidth="1"/>
    <col min="13059" max="13059" width="17.33203125" style="115" customWidth="1"/>
    <col min="13060" max="13060" width="20.5546875" style="115" bestFit="1" customWidth="1"/>
    <col min="13061" max="13061" width="17.109375" style="115" customWidth="1"/>
    <col min="13062" max="13062" width="21.88671875" style="115" bestFit="1" customWidth="1"/>
    <col min="13063" max="13063" width="17.109375" style="115" bestFit="1" customWidth="1"/>
    <col min="13064" max="13064" width="18.109375" style="115" bestFit="1" customWidth="1"/>
    <col min="13065" max="13065" width="26.44140625" style="115" customWidth="1"/>
    <col min="13066" max="13310" width="9.109375" style="115"/>
    <col min="13311" max="13311" width="8.6640625" style="115" bestFit="1" customWidth="1"/>
    <col min="13312" max="13312" width="13.33203125" style="115" customWidth="1"/>
    <col min="13313" max="13313" width="16.109375" style="115" bestFit="1" customWidth="1"/>
    <col min="13314" max="13314" width="23.5546875" style="115" customWidth="1"/>
    <col min="13315" max="13315" width="17.33203125" style="115" customWidth="1"/>
    <col min="13316" max="13316" width="20.5546875" style="115" bestFit="1" customWidth="1"/>
    <col min="13317" max="13317" width="17.109375" style="115" customWidth="1"/>
    <col min="13318" max="13318" width="21.88671875" style="115" bestFit="1" customWidth="1"/>
    <col min="13319" max="13319" width="17.109375" style="115" bestFit="1" customWidth="1"/>
    <col min="13320" max="13320" width="18.109375" style="115" bestFit="1" customWidth="1"/>
    <col min="13321" max="13321" width="26.44140625" style="115" customWidth="1"/>
    <col min="13322" max="13566" width="9.109375" style="115"/>
    <col min="13567" max="13567" width="8.6640625" style="115" bestFit="1" customWidth="1"/>
    <col min="13568" max="13568" width="13.33203125" style="115" customWidth="1"/>
    <col min="13569" max="13569" width="16.109375" style="115" bestFit="1" customWidth="1"/>
    <col min="13570" max="13570" width="23.5546875" style="115" customWidth="1"/>
    <col min="13571" max="13571" width="17.33203125" style="115" customWidth="1"/>
    <col min="13572" max="13572" width="20.5546875" style="115" bestFit="1" customWidth="1"/>
    <col min="13573" max="13573" width="17.109375" style="115" customWidth="1"/>
    <col min="13574" max="13574" width="21.88671875" style="115" bestFit="1" customWidth="1"/>
    <col min="13575" max="13575" width="17.109375" style="115" bestFit="1" customWidth="1"/>
    <col min="13576" max="13576" width="18.109375" style="115" bestFit="1" customWidth="1"/>
    <col min="13577" max="13577" width="26.44140625" style="115" customWidth="1"/>
    <col min="13578" max="13822" width="9.109375" style="115"/>
    <col min="13823" max="13823" width="8.6640625" style="115" bestFit="1" customWidth="1"/>
    <col min="13824" max="13824" width="13.33203125" style="115" customWidth="1"/>
    <col min="13825" max="13825" width="16.109375" style="115" bestFit="1" customWidth="1"/>
    <col min="13826" max="13826" width="23.5546875" style="115" customWidth="1"/>
    <col min="13827" max="13827" width="17.33203125" style="115" customWidth="1"/>
    <col min="13828" max="13828" width="20.5546875" style="115" bestFit="1" customWidth="1"/>
    <col min="13829" max="13829" width="17.109375" style="115" customWidth="1"/>
    <col min="13830" max="13830" width="21.88671875" style="115" bestFit="1" customWidth="1"/>
    <col min="13831" max="13831" width="17.109375" style="115" bestFit="1" customWidth="1"/>
    <col min="13832" max="13832" width="18.109375" style="115" bestFit="1" customWidth="1"/>
    <col min="13833" max="13833" width="26.44140625" style="115" customWidth="1"/>
    <col min="13834" max="14078" width="9.109375" style="115"/>
    <col min="14079" max="14079" width="8.6640625" style="115" bestFit="1" customWidth="1"/>
    <col min="14080" max="14080" width="13.33203125" style="115" customWidth="1"/>
    <col min="14081" max="14081" width="16.109375" style="115" bestFit="1" customWidth="1"/>
    <col min="14082" max="14082" width="23.5546875" style="115" customWidth="1"/>
    <col min="14083" max="14083" width="17.33203125" style="115" customWidth="1"/>
    <col min="14084" max="14084" width="20.5546875" style="115" bestFit="1" customWidth="1"/>
    <col min="14085" max="14085" width="17.109375" style="115" customWidth="1"/>
    <col min="14086" max="14086" width="21.88671875" style="115" bestFit="1" customWidth="1"/>
    <col min="14087" max="14087" width="17.109375" style="115" bestFit="1" customWidth="1"/>
    <col min="14088" max="14088" width="18.109375" style="115" bestFit="1" customWidth="1"/>
    <col min="14089" max="14089" width="26.44140625" style="115" customWidth="1"/>
    <col min="14090" max="14334" width="9.109375" style="115"/>
    <col min="14335" max="14335" width="8.6640625" style="115" bestFit="1" customWidth="1"/>
    <col min="14336" max="14336" width="13.33203125" style="115" customWidth="1"/>
    <col min="14337" max="14337" width="16.109375" style="115" bestFit="1" customWidth="1"/>
    <col min="14338" max="14338" width="23.5546875" style="115" customWidth="1"/>
    <col min="14339" max="14339" width="17.33203125" style="115" customWidth="1"/>
    <col min="14340" max="14340" width="20.5546875" style="115" bestFit="1" customWidth="1"/>
    <col min="14341" max="14341" width="17.109375" style="115" customWidth="1"/>
    <col min="14342" max="14342" width="21.88671875" style="115" bestFit="1" customWidth="1"/>
    <col min="14343" max="14343" width="17.109375" style="115" bestFit="1" customWidth="1"/>
    <col min="14344" max="14344" width="18.109375" style="115" bestFit="1" customWidth="1"/>
    <col min="14345" max="14345" width="26.44140625" style="115" customWidth="1"/>
    <col min="14346" max="14590" width="9.109375" style="115"/>
    <col min="14591" max="14591" width="8.6640625" style="115" bestFit="1" customWidth="1"/>
    <col min="14592" max="14592" width="13.33203125" style="115" customWidth="1"/>
    <col min="14593" max="14593" width="16.109375" style="115" bestFit="1" customWidth="1"/>
    <col min="14594" max="14594" width="23.5546875" style="115" customWidth="1"/>
    <col min="14595" max="14595" width="17.33203125" style="115" customWidth="1"/>
    <col min="14596" max="14596" width="20.5546875" style="115" bestFit="1" customWidth="1"/>
    <col min="14597" max="14597" width="17.109375" style="115" customWidth="1"/>
    <col min="14598" max="14598" width="21.88671875" style="115" bestFit="1" customWidth="1"/>
    <col min="14599" max="14599" width="17.109375" style="115" bestFit="1" customWidth="1"/>
    <col min="14600" max="14600" width="18.109375" style="115" bestFit="1" customWidth="1"/>
    <col min="14601" max="14601" width="26.44140625" style="115" customWidth="1"/>
    <col min="14602" max="14846" width="9.109375" style="115"/>
    <col min="14847" max="14847" width="8.6640625" style="115" bestFit="1" customWidth="1"/>
    <col min="14848" max="14848" width="13.33203125" style="115" customWidth="1"/>
    <col min="14849" max="14849" width="16.109375" style="115" bestFit="1" customWidth="1"/>
    <col min="14850" max="14850" width="23.5546875" style="115" customWidth="1"/>
    <col min="14851" max="14851" width="17.33203125" style="115" customWidth="1"/>
    <col min="14852" max="14852" width="20.5546875" style="115" bestFit="1" customWidth="1"/>
    <col min="14853" max="14853" width="17.109375" style="115" customWidth="1"/>
    <col min="14854" max="14854" width="21.88671875" style="115" bestFit="1" customWidth="1"/>
    <col min="14855" max="14855" width="17.109375" style="115" bestFit="1" customWidth="1"/>
    <col min="14856" max="14856" width="18.109375" style="115" bestFit="1" customWidth="1"/>
    <col min="14857" max="14857" width="26.44140625" style="115" customWidth="1"/>
    <col min="14858" max="15102" width="9.109375" style="115"/>
    <col min="15103" max="15103" width="8.6640625" style="115" bestFit="1" customWidth="1"/>
    <col min="15104" max="15104" width="13.33203125" style="115" customWidth="1"/>
    <col min="15105" max="15105" width="16.109375" style="115" bestFit="1" customWidth="1"/>
    <col min="15106" max="15106" width="23.5546875" style="115" customWidth="1"/>
    <col min="15107" max="15107" width="17.33203125" style="115" customWidth="1"/>
    <col min="15108" max="15108" width="20.5546875" style="115" bestFit="1" customWidth="1"/>
    <col min="15109" max="15109" width="17.109375" style="115" customWidth="1"/>
    <col min="15110" max="15110" width="21.88671875" style="115" bestFit="1" customWidth="1"/>
    <col min="15111" max="15111" width="17.109375" style="115" bestFit="1" customWidth="1"/>
    <col min="15112" max="15112" width="18.109375" style="115" bestFit="1" customWidth="1"/>
    <col min="15113" max="15113" width="26.44140625" style="115" customWidth="1"/>
    <col min="15114" max="15358" width="9.109375" style="115"/>
    <col min="15359" max="15359" width="8.6640625" style="115" bestFit="1" customWidth="1"/>
    <col min="15360" max="15360" width="13.33203125" style="115" customWidth="1"/>
    <col min="15361" max="15361" width="16.109375" style="115" bestFit="1" customWidth="1"/>
    <col min="15362" max="15362" width="23.5546875" style="115" customWidth="1"/>
    <col min="15363" max="15363" width="17.33203125" style="115" customWidth="1"/>
    <col min="15364" max="15364" width="20.5546875" style="115" bestFit="1" customWidth="1"/>
    <col min="15365" max="15365" width="17.109375" style="115" customWidth="1"/>
    <col min="15366" max="15366" width="21.88671875" style="115" bestFit="1" customWidth="1"/>
    <col min="15367" max="15367" width="17.109375" style="115" bestFit="1" customWidth="1"/>
    <col min="15368" max="15368" width="18.109375" style="115" bestFit="1" customWidth="1"/>
    <col min="15369" max="15369" width="26.44140625" style="115" customWidth="1"/>
    <col min="15370" max="15614" width="9.109375" style="115"/>
    <col min="15615" max="15615" width="8.6640625" style="115" bestFit="1" customWidth="1"/>
    <col min="15616" max="15616" width="13.33203125" style="115" customWidth="1"/>
    <col min="15617" max="15617" width="16.109375" style="115" bestFit="1" customWidth="1"/>
    <col min="15618" max="15618" width="23.5546875" style="115" customWidth="1"/>
    <col min="15619" max="15619" width="17.33203125" style="115" customWidth="1"/>
    <col min="15620" max="15620" width="20.5546875" style="115" bestFit="1" customWidth="1"/>
    <col min="15621" max="15621" width="17.109375" style="115" customWidth="1"/>
    <col min="15622" max="15622" width="21.88671875" style="115" bestFit="1" customWidth="1"/>
    <col min="15623" max="15623" width="17.109375" style="115" bestFit="1" customWidth="1"/>
    <col min="15624" max="15624" width="18.109375" style="115" bestFit="1" customWidth="1"/>
    <col min="15625" max="15625" width="26.44140625" style="115" customWidth="1"/>
    <col min="15626" max="15870" width="9.109375" style="115"/>
    <col min="15871" max="15871" width="8.6640625" style="115" bestFit="1" customWidth="1"/>
    <col min="15872" max="15872" width="13.33203125" style="115" customWidth="1"/>
    <col min="15873" max="15873" width="16.109375" style="115" bestFit="1" customWidth="1"/>
    <col min="15874" max="15874" width="23.5546875" style="115" customWidth="1"/>
    <col min="15875" max="15875" width="17.33203125" style="115" customWidth="1"/>
    <col min="15876" max="15876" width="20.5546875" style="115" bestFit="1" customWidth="1"/>
    <col min="15877" max="15877" width="17.109375" style="115" customWidth="1"/>
    <col min="15878" max="15878" width="21.88671875" style="115" bestFit="1" customWidth="1"/>
    <col min="15879" max="15879" width="17.109375" style="115" bestFit="1" customWidth="1"/>
    <col min="15880" max="15880" width="18.109375" style="115" bestFit="1" customWidth="1"/>
    <col min="15881" max="15881" width="26.44140625" style="115" customWidth="1"/>
    <col min="15882" max="16126" width="9.109375" style="115"/>
    <col min="16127" max="16127" width="8.6640625" style="115" bestFit="1" customWidth="1"/>
    <col min="16128" max="16128" width="13.33203125" style="115" customWidth="1"/>
    <col min="16129" max="16129" width="16.109375" style="115" bestFit="1" customWidth="1"/>
    <col min="16130" max="16130" width="23.5546875" style="115" customWidth="1"/>
    <col min="16131" max="16131" width="17.33203125" style="115" customWidth="1"/>
    <col min="16132" max="16132" width="20.5546875" style="115" bestFit="1" customWidth="1"/>
    <col min="16133" max="16133" width="17.109375" style="115" customWidth="1"/>
    <col min="16134" max="16134" width="21.88671875" style="115" bestFit="1" customWidth="1"/>
    <col min="16135" max="16135" width="17.109375" style="115" bestFit="1" customWidth="1"/>
    <col min="16136" max="16136" width="18.109375" style="115" bestFit="1" customWidth="1"/>
    <col min="16137" max="16137" width="26.44140625" style="115" customWidth="1"/>
    <col min="16138" max="16384" width="9.109375" style="115"/>
  </cols>
  <sheetData>
    <row r="1" spans="11:12" s="133" customFormat="1" x14ac:dyDescent="0.25">
      <c r="K1" s="483"/>
      <c r="L1" s="482"/>
    </row>
    <row r="2" spans="11:12" s="133" customFormat="1" x14ac:dyDescent="0.25">
      <c r="K2" s="483"/>
      <c r="L2" s="482"/>
    </row>
    <row r="3" spans="11:12" s="133" customFormat="1" x14ac:dyDescent="0.25">
      <c r="K3" s="483"/>
      <c r="L3" s="482"/>
    </row>
    <row r="4" spans="11:12" s="133" customFormat="1" x14ac:dyDescent="0.25">
      <c r="K4" s="483"/>
      <c r="L4" s="482"/>
    </row>
    <row r="5" spans="11:12" s="133" customFormat="1" x14ac:dyDescent="0.25">
      <c r="K5" s="483"/>
      <c r="L5" s="482"/>
    </row>
    <row r="6" spans="11:12" s="133" customFormat="1" x14ac:dyDescent="0.25">
      <c r="K6" s="483"/>
      <c r="L6" s="482"/>
    </row>
    <row r="7" spans="11:12" s="133" customFormat="1" x14ac:dyDescent="0.25">
      <c r="K7" s="483"/>
      <c r="L7" s="482"/>
    </row>
    <row r="8" spans="11:12" s="133" customFormat="1" x14ac:dyDescent="0.25">
      <c r="K8" s="483"/>
      <c r="L8" s="482"/>
    </row>
    <row r="9" spans="11:12" s="133" customFormat="1" x14ac:dyDescent="0.25">
      <c r="K9" s="483"/>
      <c r="L9" s="482"/>
    </row>
    <row r="10" spans="11:12" s="133" customFormat="1" x14ac:dyDescent="0.25">
      <c r="K10" s="483"/>
      <c r="L10" s="482"/>
    </row>
    <row r="11" spans="11:12" s="133" customFormat="1" x14ac:dyDescent="0.25">
      <c r="K11" s="483"/>
      <c r="L11" s="482"/>
    </row>
    <row r="12" spans="11:12" s="133" customFormat="1" x14ac:dyDescent="0.25">
      <c r="K12" s="483"/>
      <c r="L12" s="482"/>
    </row>
    <row r="13" spans="11:12" s="133" customFormat="1" x14ac:dyDescent="0.25">
      <c r="K13" s="483"/>
      <c r="L13" s="482"/>
    </row>
    <row r="14" spans="11:12" s="133" customFormat="1" x14ac:dyDescent="0.25">
      <c r="K14" s="483"/>
      <c r="L14" s="482"/>
    </row>
    <row r="15" spans="11:12" s="133" customFormat="1" x14ac:dyDescent="0.25">
      <c r="K15" s="483"/>
      <c r="L15" s="482"/>
    </row>
    <row r="16" spans="11:12" s="133" customFormat="1" x14ac:dyDescent="0.25">
      <c r="K16" s="483"/>
      <c r="L16" s="482"/>
    </row>
    <row r="17" spans="1:17" s="133" customFormat="1" x14ac:dyDescent="0.25">
      <c r="K17" s="483"/>
      <c r="L17" s="482"/>
    </row>
    <row r="18" spans="1:17" s="133" customFormat="1" x14ac:dyDescent="0.25">
      <c r="K18" s="483"/>
      <c r="L18" s="482"/>
    </row>
    <row r="19" spans="1:17" s="133" customFormat="1" x14ac:dyDescent="0.25">
      <c r="K19" s="483"/>
      <c r="L19" s="482"/>
    </row>
    <row r="20" spans="1:17" s="133" customFormat="1" x14ac:dyDescent="0.25">
      <c r="K20" s="483"/>
      <c r="L20" s="482"/>
    </row>
    <row r="21" spans="1:17" s="133" customFormat="1" x14ac:dyDescent="0.25">
      <c r="K21" s="483"/>
      <c r="L21" s="482"/>
    </row>
    <row r="22" spans="1:17" s="133" customFormat="1" x14ac:dyDescent="0.25">
      <c r="K22" s="483"/>
      <c r="L22" s="482"/>
    </row>
    <row r="23" spans="1:17" s="133" customFormat="1" x14ac:dyDescent="0.25">
      <c r="K23" s="483"/>
      <c r="L23" s="482"/>
    </row>
    <row r="24" spans="1:17" s="133" customFormat="1" x14ac:dyDescent="0.25">
      <c r="K24" s="483"/>
      <c r="L24" s="482"/>
    </row>
    <row r="25" spans="1:17" s="133" customFormat="1" x14ac:dyDescent="0.25">
      <c r="K25" s="483"/>
      <c r="L25" s="482"/>
    </row>
    <row r="26" spans="1:17" s="133" customFormat="1" x14ac:dyDescent="0.25">
      <c r="K26" s="483"/>
      <c r="L26" s="482"/>
    </row>
    <row r="27" spans="1:17" s="133" customFormat="1" x14ac:dyDescent="0.25">
      <c r="K27" s="483"/>
      <c r="L27" s="482"/>
    </row>
    <row r="28" spans="1:17" s="133" customFormat="1" ht="24.75" customHeight="1" x14ac:dyDescent="0.3">
      <c r="A28" s="509" t="str">
        <f>CHOOSE(MODE, 'Variable Mgmt'!K11,'Variable Mgmt'!K12)</f>
        <v>BIPOLAR Output PSR Flyback Converter, VIN = 24 V, VOUT1 = 6,3 V, IOUT1 = 0,1 A, VOUT2 = -15 V, IOUT2 = -0,1 A</v>
      </c>
      <c r="K28" s="482"/>
      <c r="L28" s="482"/>
    </row>
    <row r="29" spans="1:17" ht="24.75" customHeight="1" thickBot="1" x14ac:dyDescent="0.3">
      <c r="A29" s="116" t="s">
        <v>543</v>
      </c>
    </row>
    <row r="30" spans="1:17" ht="18" customHeight="1" x14ac:dyDescent="0.25">
      <c r="A30" s="209" t="s">
        <v>123</v>
      </c>
      <c r="B30" s="210" t="s">
        <v>122</v>
      </c>
      <c r="C30" s="210" t="s">
        <v>6</v>
      </c>
      <c r="D30" s="665" t="s">
        <v>41</v>
      </c>
      <c r="E30" s="666"/>
      <c r="F30" s="667"/>
      <c r="G30" s="210" t="s">
        <v>116</v>
      </c>
      <c r="H30" s="210" t="s">
        <v>67</v>
      </c>
      <c r="I30" s="501" t="s">
        <v>117</v>
      </c>
      <c r="J30" s="502" t="s">
        <v>350</v>
      </c>
      <c r="K30" s="503" t="s">
        <v>359</v>
      </c>
      <c r="L30" s="476"/>
      <c r="N30" s="118"/>
      <c r="Q30" s="508"/>
    </row>
    <row r="31" spans="1:17" s="118" customFormat="1" ht="17.100000000000001" customHeight="1" x14ac:dyDescent="0.25">
      <c r="A31" s="117">
        <f>ROUNDUP('Design Converter'!E17/10,0)</f>
        <v>1</v>
      </c>
      <c r="B31" s="129" t="s">
        <v>120</v>
      </c>
      <c r="C31" s="132">
        <f>Cin</f>
        <v>2.2000000000000002</v>
      </c>
      <c r="D31" s="663" t="str">
        <f>IF(VIN_max&gt;35, "Capacitor, Ceramic, "&amp;'Variable Mgmt'!B218&amp;", 100V, X7R, 10%", "Capacitor, Ceramic, "&amp;'Variable Mgmt'!B218&amp;", 50V, X7R, 10%")</f>
        <v>Capacitor, Ceramic, 2,2µF, 100V, X7R, 10%</v>
      </c>
      <c r="E31" s="664"/>
      <c r="F31" s="664"/>
      <c r="G31" s="130"/>
      <c r="H31" s="131" t="s">
        <v>118</v>
      </c>
      <c r="I31" s="488" t="s">
        <v>118</v>
      </c>
      <c r="J31" s="497" t="str">
        <f>CHOOSE(Q31,'Variable Mgmt'!T56,'Variable Mgmt'!T57,'Variable Mgmt'!T58,'Variable Mgmt'!T59,'Variable Mgmt'!T60)</f>
        <v>3.2 x 2.5</v>
      </c>
      <c r="K31" s="495">
        <f>CHOOSE(Q31,'Variable Mgmt'!U56,'Variable Mgmt'!U57,'Variable Mgmt'!U58,'Variable Mgmt'!U59,'Variable Mgmt'!U60)</f>
        <v>8</v>
      </c>
      <c r="L31" s="500"/>
      <c r="Q31" s="506">
        <v>5</v>
      </c>
    </row>
    <row r="32" spans="1:17" s="118" customFormat="1" ht="17.100000000000001" customHeight="1" x14ac:dyDescent="0.25">
      <c r="A32" s="117">
        <v>1</v>
      </c>
      <c r="B32" s="129" t="s">
        <v>121</v>
      </c>
      <c r="C32" s="132">
        <f>Cout</f>
        <v>88</v>
      </c>
      <c r="D32" s="679" t="str">
        <f>CHOOSE(Cout_Voltage_Rating, "Capacitor, Ceramic, "&amp;'Variable Mgmt'!B213&amp;", 6.3V, X7R, 10%", "Capacitor, Ceramic, "&amp;'Variable Mgmt'!B213&amp;", 10V, X7R, 10%", "Capacitor, Ceramic, "&amp;'Variable Mgmt'!B213&amp;", 16V, X7R, 10%", "Capacitor, Ceramic, "&amp;'Variable Mgmt'!B213&amp;", 25V, X7R, 10%",  "Capacitor, Ceramic, "&amp;'Variable Mgmt'!B213&amp;", 50V, X7R, 10%")</f>
        <v>Capacitor, Ceramic, 88µF, 10V, X7R, 10%</v>
      </c>
      <c r="E32" s="680"/>
      <c r="F32" s="680"/>
      <c r="G32" s="130"/>
      <c r="H32" s="131" t="s">
        <v>118</v>
      </c>
      <c r="I32" s="488" t="s">
        <v>118</v>
      </c>
      <c r="J32" s="497" t="str">
        <f>CHOOSE(Q32,'Variable Mgmt'!T56,'Variable Mgmt'!T57,'Variable Mgmt'!T58,'Variable Mgmt'!T59,'Variable Mgmt'!T60)</f>
        <v>3.2 x 2.5</v>
      </c>
      <c r="K32" s="495">
        <f>CHOOSE(Q32,'Variable Mgmt'!U56,'Variable Mgmt'!U57,'Variable Mgmt'!U58,'Variable Mgmt'!U59,'Variable Mgmt'!U60)</f>
        <v>8</v>
      </c>
      <c r="L32" s="500"/>
      <c r="Q32" s="507">
        <v>5</v>
      </c>
    </row>
    <row r="33" spans="1:17" s="118" customFormat="1" ht="17.100000000000001" customHeight="1" x14ac:dyDescent="0.25">
      <c r="A33" s="117" t="str">
        <f>CHOOSE(MODE, "-", "1")</f>
        <v>1</v>
      </c>
      <c r="B33" s="129" t="s">
        <v>650</v>
      </c>
      <c r="C33" s="132">
        <f>CHOOSE(MODE, "-", Cout2)</f>
        <v>44</v>
      </c>
      <c r="D33" s="621" t="str">
        <f>CHOOSE(MODE, "-", CHOOSE(Cout_Voltage_Rating, "Capacitor, Ceramic, "&amp;'Variable Mgmt'!F213&amp;", 6.3V, X7R, 10%", "Capacitor, Ceramic, "&amp;'Variable Mgmt'!F213&amp;", 10V, X7R, 10%", "Capacitor, Ceramic, "&amp;'Variable Mgmt'!F213&amp;", 16V, X7R, 10%", "Capacitor, Ceramic, "&amp;'Variable Mgmt'!F213&amp;", 25V, X7R, 10%",  "Capacitor, Ceramic, "&amp;'Variable Mgmt'!F213&amp;", 50V, X7R, 10%"))</f>
        <v>Capacitor, Ceramic, 44µF, 10V, X7R, 10%</v>
      </c>
      <c r="E33" s="622"/>
      <c r="F33" s="622"/>
      <c r="G33" s="130"/>
      <c r="H33" s="131" t="str">
        <f>CHOOSE(MODE, "-", "Std")</f>
        <v>Std</v>
      </c>
      <c r="I33" s="488" t="str">
        <f>CHOOSE(MODE, "-", "Std")</f>
        <v>Std</v>
      </c>
      <c r="J33" s="497" t="str">
        <f>CHOOSE(MODE, "-", CHOOSE(Q33,'Variable Mgmt'!T56,'Variable Mgmt'!T57,'Variable Mgmt'!T58,'Variable Mgmt'!T59,'Variable Mgmt'!T60))</f>
        <v>3.2 x 2.5</v>
      </c>
      <c r="K33" s="495">
        <f>CHOOSE(MODE, "-", CHOOSE(Q33,'Variable Mgmt'!U56,'Variable Mgmt'!U57,'Variable Mgmt'!U58,'Variable Mgmt'!U59,'Variable Mgmt'!U60))</f>
        <v>8</v>
      </c>
      <c r="L33" s="500"/>
      <c r="Q33" s="507">
        <v>5</v>
      </c>
    </row>
    <row r="34" spans="1:17" s="118" customFormat="1" ht="17.100000000000001" customHeight="1" x14ac:dyDescent="0.25">
      <c r="A34" s="119" t="str">
        <f>CHOOSE(MODE_SS, "1", "-", "1")</f>
        <v>1</v>
      </c>
      <c r="B34" s="120" t="str">
        <f>CHOOSE(MODE_SS, "Css", "-")</f>
        <v>Css</v>
      </c>
      <c r="C34" s="648" t="str">
        <f>CHOOSE(MODE_SS, 'Standard Value Calculator'!B4*1000000000&amp;"nF", "-", "100k")</f>
        <v>22nF</v>
      </c>
      <c r="D34" s="681" t="str">
        <f>CHOOSE(MODE_SS, "Capacitor, Ceramic, "&amp;'Standard Value Calculator'!B4*1000000000&amp;"nF"&amp;", 16V, X7R, 10%", "-")</f>
        <v>Capacitor, Ceramic, 22nF, 16V, X7R, 10%</v>
      </c>
      <c r="E34" s="682"/>
      <c r="F34" s="682"/>
      <c r="G34" s="122" t="s">
        <v>119</v>
      </c>
      <c r="H34" s="123" t="str">
        <f>CHOOSE(MODE_SS, "Std", "-")</f>
        <v>Std</v>
      </c>
      <c r="I34" s="489" t="str">
        <f>CHOOSE(MODE_SS, "Std", "-")</f>
        <v>Std</v>
      </c>
      <c r="J34" s="497" t="str">
        <f>CHOOSE(MODE_SS,CHOOSE(Q34,'Variable Mgmt'!T56,'Variable Mgmt'!T57,'Variable Mgmt'!T58),"-",CHOOSE(Q34,'Variable Mgmt'!T56,'Variable Mgmt'!T57,'Variable Mgmt'!T58))</f>
        <v>1.0 x 0.5</v>
      </c>
      <c r="K34" s="495">
        <f>CHOOSE(MODE_SS, CHOOSE(Q34,'Variable Mgmt'!U56,'Variable Mgmt'!U57,'Variable Mgmt'!U58), "-", CHOOSE(Q34,'Variable Mgmt'!U56,'Variable Mgmt'!U57,'Variable Mgmt'!U58))</f>
        <v>0.5</v>
      </c>
      <c r="L34" s="500"/>
      <c r="Q34" s="507">
        <v>1</v>
      </c>
    </row>
    <row r="35" spans="1:17" s="118" customFormat="1" ht="17.100000000000001" customHeight="1" x14ac:dyDescent="0.25">
      <c r="A35" s="124">
        <v>1</v>
      </c>
      <c r="B35" s="125" t="s">
        <v>652</v>
      </c>
      <c r="C35" s="126" t="s">
        <v>194</v>
      </c>
      <c r="D35" s="672" t="str">
        <f>"Rectifying Diode, Schottky"</f>
        <v>Rectifying Diode, Schottky</v>
      </c>
      <c r="E35" s="673"/>
      <c r="F35" s="673"/>
      <c r="G35" s="127" t="e">
        <f>CHOOSE(SHORT_ILIM, "-", "0603")</f>
        <v>#NAME?</v>
      </c>
      <c r="H35" s="128" t="s">
        <v>118</v>
      </c>
      <c r="I35" s="490" t="s">
        <v>118</v>
      </c>
      <c r="J35" s="641" t="str">
        <f>CHOOSE(Q35,'Variable Mgmt'!Y65,'Variable Mgmt'!Y66,'Variable Mgmt'!Y67,'Variable Mgmt'!Y68)</f>
        <v>3.6 x 1.8</v>
      </c>
      <c r="K35" s="642">
        <f>CHOOSE(Q35,'Variable Mgmt'!Z65,'Variable Mgmt'!Z66,'Variable Mgmt'!Z67,'Variable Mgmt'!Z68)</f>
        <v>6.5</v>
      </c>
      <c r="L35" s="500"/>
      <c r="Q35" s="507">
        <v>3</v>
      </c>
    </row>
    <row r="36" spans="1:17" s="118" customFormat="1" ht="17.100000000000001" customHeight="1" x14ac:dyDescent="0.25">
      <c r="A36" s="124" t="str">
        <f>CHOOSE(MODE, "-", "1")</f>
        <v>1</v>
      </c>
      <c r="B36" s="125" t="s">
        <v>651</v>
      </c>
      <c r="C36" s="126" t="str">
        <f>CHOOSE(MODE, "-", "Diode")</f>
        <v>Diode</v>
      </c>
      <c r="D36" s="670" t="str">
        <f>CHOOSE(MODE, "-", "Rectifying Diode, Schottky")</f>
        <v>Rectifying Diode, Schottky</v>
      </c>
      <c r="E36" s="671"/>
      <c r="F36" s="671"/>
      <c r="G36" s="127" t="s">
        <v>119</v>
      </c>
      <c r="H36" s="128" t="str">
        <f>CHOOSE(MODE, "-", "Std")</f>
        <v>Std</v>
      </c>
      <c r="I36" s="490" t="str">
        <f>CHOOSE(MODE, "-", "Std")</f>
        <v>Std</v>
      </c>
      <c r="J36" s="641" t="str">
        <f>CHOOSE(MODE, "-", CHOOSE(Q36,'Variable Mgmt'!Y65,'Variable Mgmt'!Y66,'Variable Mgmt'!Y67,'Variable Mgmt'!Y68))</f>
        <v>3.6 x 1.8</v>
      </c>
      <c r="K36" s="642">
        <f>CHOOSE(MODE, "-", CHOOSE(Q36,'Variable Mgmt'!Z65,'Variable Mgmt'!Z66,'Variable Mgmt'!Z67,'Variable Mgmt'!Z68))</f>
        <v>6.5</v>
      </c>
      <c r="L36" s="500"/>
      <c r="Q36" s="507">
        <v>3</v>
      </c>
    </row>
    <row r="37" spans="1:17" s="118" customFormat="1" ht="17.100000000000001" customHeight="1" x14ac:dyDescent="0.25">
      <c r="A37" s="124">
        <v>1</v>
      </c>
      <c r="B37" s="125" t="s">
        <v>653</v>
      </c>
      <c r="C37" s="126" t="str">
        <f>"Diode"</f>
        <v>Diode</v>
      </c>
      <c r="D37" s="646" t="str">
        <f>"Clamp Circuit Diode, Fast Recovery"</f>
        <v>Clamp Circuit Diode, Fast Recovery</v>
      </c>
      <c r="E37" s="647"/>
      <c r="F37" s="647"/>
      <c r="G37" s="127"/>
      <c r="H37" s="128" t="s">
        <v>118</v>
      </c>
      <c r="I37" s="490" t="s">
        <v>118</v>
      </c>
      <c r="J37" s="641" t="str">
        <f>CHOOSE(Q37,'Variable Mgmt'!Y65,'Variable Mgmt'!Y66,'Variable Mgmt'!Y67,'Variable Mgmt'!Y68)</f>
        <v>2.5 x 1.25</v>
      </c>
      <c r="K37" s="642">
        <f>CHOOSE(Q37,'Variable Mgmt'!Z65,'Variable Mgmt'!Z66,'Variable Mgmt'!Z67,'Variable Mgmt'!Z68)</f>
        <v>3.2</v>
      </c>
      <c r="L37" s="500"/>
      <c r="Q37" s="507">
        <v>2</v>
      </c>
    </row>
    <row r="38" spans="1:17" s="118" customFormat="1" ht="17.100000000000001" customHeight="1" x14ac:dyDescent="0.25">
      <c r="A38" s="124">
        <v>1</v>
      </c>
      <c r="B38" s="125" t="s">
        <v>648</v>
      </c>
      <c r="C38" s="126" t="s">
        <v>649</v>
      </c>
      <c r="D38" s="670" t="str">
        <f>"Clamp Circuit Diode, Zener, 24V"</f>
        <v>Clamp Circuit Diode, Zener, 24V</v>
      </c>
      <c r="E38" s="671"/>
      <c r="F38" s="671"/>
      <c r="G38" s="127" t="s">
        <v>119</v>
      </c>
      <c r="H38" s="128" t="s">
        <v>118</v>
      </c>
      <c r="I38" s="490" t="s">
        <v>118</v>
      </c>
      <c r="J38" s="641" t="str">
        <f>CHOOSE(Q38,'Variable Mgmt'!T56,'Variable Mgmt'!T57,'Variable Mgmt'!T58)</f>
        <v>2.0 x 1.25</v>
      </c>
      <c r="K38" s="642">
        <f>CHOOSE(Q38,'Variable Mgmt'!Z65,'Variable Mgmt'!Z66,'Variable Mgmt'!Z67,'Variable Mgmt'!Z68)</f>
        <v>6.5</v>
      </c>
      <c r="L38" s="500"/>
      <c r="Q38" s="507">
        <v>3</v>
      </c>
    </row>
    <row r="39" spans="1:17" s="118" customFormat="1" ht="17.100000000000001" customHeight="1" x14ac:dyDescent="0.25">
      <c r="A39" s="124">
        <v>1</v>
      </c>
      <c r="B39" s="125" t="s">
        <v>663</v>
      </c>
      <c r="C39" s="126" t="str">
        <f>Vout*1.1&amp;"V"</f>
        <v>6,93V</v>
      </c>
      <c r="D39" s="646" t="str">
        <f>"Output Clamp Diode, Zener, "&amp;ROUND(Vout*1.125,0)&amp;"V"</f>
        <v>Output Clamp Diode, Zener, 7V</v>
      </c>
      <c r="E39" s="647"/>
      <c r="F39" s="647"/>
      <c r="G39" s="127"/>
      <c r="H39" s="128" t="s">
        <v>118</v>
      </c>
      <c r="I39" s="490" t="s">
        <v>118</v>
      </c>
      <c r="J39" s="641" t="str">
        <f>CHOOSE(Q39,'Variable Mgmt'!T56,'Variable Mgmt'!T57,'Variable Mgmt'!T58)</f>
        <v>1.0 x 0.5</v>
      </c>
      <c r="K39" s="642">
        <f>CHOOSE(Q39,'Variable Mgmt'!Z65,'Variable Mgmt'!Z66,'Variable Mgmt'!Z67,'Variable Mgmt'!Z68)</f>
        <v>1.3</v>
      </c>
      <c r="L39" s="500"/>
      <c r="Q39" s="507">
        <v>1</v>
      </c>
    </row>
    <row r="40" spans="1:17" s="118" customFormat="1" ht="17.100000000000001" customHeight="1" x14ac:dyDescent="0.25">
      <c r="A40" s="119">
        <v>1</v>
      </c>
      <c r="B40" s="120" t="s">
        <v>654</v>
      </c>
      <c r="C40" s="121">
        <v>12.1</v>
      </c>
      <c r="D40" s="668">
        <f t="shared" ref="D40" si="0">C40</f>
        <v>12.1</v>
      </c>
      <c r="E40" s="669"/>
      <c r="F40" s="669"/>
      <c r="G40" s="122" t="s">
        <v>119</v>
      </c>
      <c r="H40" s="123" t="s">
        <v>118</v>
      </c>
      <c r="I40" s="489" t="s">
        <v>118</v>
      </c>
      <c r="J40" s="497" t="str">
        <f>CHOOSE(Q40,'Variable Mgmt'!T56,'Variable Mgmt'!T57,'Variable Mgmt'!T58)</f>
        <v>1.0 x 0.5</v>
      </c>
      <c r="K40" s="495">
        <f>CHOOSE(Q40,'Variable Mgmt'!U56,'Variable Mgmt'!U57,'Variable Mgmt'!U58,'Variable Mgmt'!U59,'Variable Mgmt'!U60)</f>
        <v>0.5</v>
      </c>
      <c r="L40" s="500"/>
      <c r="Q40" s="507">
        <v>1</v>
      </c>
    </row>
    <row r="41" spans="1:17" s="118" customFormat="1" ht="17.100000000000001" customHeight="1" x14ac:dyDescent="0.25">
      <c r="A41" s="119">
        <v>1</v>
      </c>
      <c r="B41" s="120" t="s">
        <v>546</v>
      </c>
      <c r="C41" s="121">
        <f>Rfb/1000</f>
        <v>150</v>
      </c>
      <c r="D41" s="668">
        <f>C41</f>
        <v>150</v>
      </c>
      <c r="E41" s="669"/>
      <c r="F41" s="669"/>
      <c r="G41" s="122" t="s">
        <v>119</v>
      </c>
      <c r="H41" s="123" t="s">
        <v>118</v>
      </c>
      <c r="I41" s="489" t="s">
        <v>118</v>
      </c>
      <c r="J41" s="497" t="str">
        <f>CHOOSE(Q41,'Variable Mgmt'!T56,'Variable Mgmt'!T57,'Variable Mgmt'!T58)</f>
        <v>1.0 x 0.5</v>
      </c>
      <c r="K41" s="495">
        <f>CHOOSE(Q41,'Variable Mgmt'!U56,'Variable Mgmt'!U57,'Variable Mgmt'!U58,'Variable Mgmt'!U59,'Variable Mgmt'!U60)</f>
        <v>0.5</v>
      </c>
      <c r="L41" s="500"/>
      <c r="Q41" s="507">
        <v>1</v>
      </c>
    </row>
    <row r="42" spans="1:17" s="118" customFormat="1" ht="17.100000000000001" customHeight="1" x14ac:dyDescent="0.25">
      <c r="A42" s="119" t="str">
        <f>CHOOSE(MODE_UVLO, "1", "-")</f>
        <v>1</v>
      </c>
      <c r="B42" s="120" t="s">
        <v>126</v>
      </c>
      <c r="C42" s="468" t="str">
        <f>CHOOSE(MODE_UVLO, 'Variable Mgmt'!H237, "-")</f>
        <v>536k</v>
      </c>
      <c r="D42" s="677" t="str">
        <f>CHOOSE(MODE_UVLO, "Resistor, Chip, "&amp;'Variable Mgmt'!C237&amp;", 1/16W, 1%", "-")</f>
        <v>Resistor, Chip, 536kΩ, 1/16W, 1%</v>
      </c>
      <c r="E42" s="678"/>
      <c r="F42" s="678"/>
      <c r="G42" s="122" t="s">
        <v>119</v>
      </c>
      <c r="H42" s="123" t="str">
        <f t="shared" ref="H42:I43" si="1">CHOOSE(MODE_UVLO, "Std", "-")</f>
        <v>Std</v>
      </c>
      <c r="I42" s="489" t="str">
        <f t="shared" si="1"/>
        <v>Std</v>
      </c>
      <c r="J42" s="497" t="str">
        <f>CHOOSE(MODE_UVLO, CHOOSE(Q42,'Variable Mgmt'!T56,'Variable Mgmt'!T57,'Variable Mgmt'!T58), "-")</f>
        <v>1.0 x 0.5</v>
      </c>
      <c r="K42" s="495">
        <f>CHOOSE(MODE_UVLO, CHOOSE(Q42,'Variable Mgmt'!U56,'Variable Mgmt'!U57,'Variable Mgmt'!U58,'Variable Mgmt'!U59,'Variable Mgmt'!U60),"-")</f>
        <v>0.5</v>
      </c>
      <c r="L42" s="500"/>
      <c r="Q42" s="507">
        <v>1</v>
      </c>
    </row>
    <row r="43" spans="1:17" s="118" customFormat="1" ht="17.100000000000001" customHeight="1" x14ac:dyDescent="0.25">
      <c r="A43" s="119" t="str">
        <f>CHOOSE(MODE_UVLO, "1", "-")</f>
        <v>1</v>
      </c>
      <c r="B43" s="120" t="s">
        <v>127</v>
      </c>
      <c r="C43" s="468" t="str">
        <f>CHOOSE(MODE_UVLO, 'Variable Mgmt'!H238, "-")</f>
        <v>100k</v>
      </c>
      <c r="D43" s="677" t="str">
        <f>CHOOSE(MODE_UVLO, "Resistor, Chip, "&amp;'Variable Mgmt'!C238&amp;", 1/16W, 1%", "-")</f>
        <v>Resistor, Chip, 100kΩ, 1/16W, 1%</v>
      </c>
      <c r="E43" s="678"/>
      <c r="F43" s="678"/>
      <c r="G43" s="122" t="s">
        <v>119</v>
      </c>
      <c r="H43" s="123" t="str">
        <f t="shared" si="1"/>
        <v>Std</v>
      </c>
      <c r="I43" s="489" t="str">
        <f t="shared" si="1"/>
        <v>Std</v>
      </c>
      <c r="J43" s="497" t="str">
        <f>CHOOSE(MODE_UVLO, CHOOSE(Q43,'Variable Mgmt'!T56,'Variable Mgmt'!T57,'Variable Mgmt'!T58), "-")</f>
        <v>1.0 x 0.5</v>
      </c>
      <c r="K43" s="495">
        <f>CHOOSE(MODE_UVLO, CHOOSE(Q43,'Variable Mgmt'!U56,'Variable Mgmt'!U57,'Variable Mgmt'!U58,'Variable Mgmt'!U59,'Variable Mgmt'!U60),"-")</f>
        <v>0.5</v>
      </c>
      <c r="L43" s="500"/>
      <c r="Q43" s="507">
        <v>1</v>
      </c>
    </row>
    <row r="44" spans="1:17" s="118" customFormat="1" ht="17.100000000000001" customHeight="1" x14ac:dyDescent="0.25">
      <c r="A44" s="119" t="str">
        <f>CHOOSE(MODE_TC, "1", "-")</f>
        <v>-</v>
      </c>
      <c r="B44" s="120" t="s">
        <v>533</v>
      </c>
      <c r="C44" s="121" t="str">
        <f>CHOOSE(MODE_TC, RTC, "-")</f>
        <v>-</v>
      </c>
      <c r="D44" s="668" t="str">
        <f>CHOOSE(MODE_TC, "Resistor, Chip, "&amp;'Variable Mgmt'!B233&amp;", 1/16W, 1%", "-")</f>
        <v>-</v>
      </c>
      <c r="E44" s="669"/>
      <c r="F44" s="669"/>
      <c r="G44" s="122" t="s">
        <v>119</v>
      </c>
      <c r="H44" s="123" t="str">
        <f>CHOOSE(MODE_TC, "Std", "-")</f>
        <v>-</v>
      </c>
      <c r="I44" s="489" t="str">
        <f>CHOOSE(MODE_TC, "Std", "-")</f>
        <v>-</v>
      </c>
      <c r="J44" s="497" t="str">
        <f>CHOOSE(MODE_TC, CHOOSE(Q44,'Variable Mgmt'!T56,'Variable Mgmt'!T377,'Variable Mgmt'!T58), "-")</f>
        <v>-</v>
      </c>
      <c r="K44" s="495" t="str">
        <f>CHOOSE(MODE_TC, CHOOSE(Q44,'Variable Mgmt'!U56,'Variable Mgmt'!U57,'Variable Mgmt'!U58,'Variable Mgmt'!U59,'Variable Mgmt'!U60),"-")</f>
        <v>-</v>
      </c>
      <c r="L44" s="500"/>
      <c r="Q44" s="507">
        <v>1</v>
      </c>
    </row>
    <row r="45" spans="1:17" s="644" customFormat="1" ht="16.5" customHeight="1" x14ac:dyDescent="0.25">
      <c r="A45" s="124">
        <v>1</v>
      </c>
      <c r="B45" s="125" t="s">
        <v>545</v>
      </c>
      <c r="C45" s="640">
        <f>'Design Converter'!L7</f>
        <v>55</v>
      </c>
      <c r="D45" s="674" t="str">
        <f>"Transformer, "&amp;L*1000000&amp;"µH, "&amp;'Variable Mgmt'!W44&amp;", "&amp;Rdcr_pri*1000&amp;"mΩ Pri DCR, "&amp;"1.35A Sat"</f>
        <v>Transformer, 55µH, 2 : 1 : 2,33, 110mΩ Pri DCR, 1.35A Sat</v>
      </c>
      <c r="E45" s="675"/>
      <c r="F45" s="676"/>
      <c r="G45" s="128" t="s">
        <v>125</v>
      </c>
      <c r="H45" s="128" t="s">
        <v>124</v>
      </c>
      <c r="I45" s="490" t="s">
        <v>124</v>
      </c>
      <c r="J45" s="641" t="str">
        <f>CHOOSE(Q45,'Variable Mgmt'!T65,'Variable Mgmt'!T66,'Variable Mgmt'!T67,'Variable Mgmt'!T68,'Variable Mgmt'!T69,'Variable Mgmt'!T70,'Variable Mgmt'!T71)</f>
        <v>10 x 10</v>
      </c>
      <c r="K45" s="649">
        <f>CHOOSE(Q45,'Variable Mgmt'!U65,'Variable Mgmt'!U66,'Variable Mgmt'!U67,'Variable Mgmt'!U68,'Variable Mgmt'!U69,'Variable Mgmt'!U70,'Variable Mgmt'!U71)</f>
        <v>100</v>
      </c>
      <c r="L45" s="643"/>
      <c r="Q45" s="645">
        <v>5</v>
      </c>
    </row>
    <row r="46" spans="1:17" ht="17.100000000000001" customHeight="1" x14ac:dyDescent="0.25">
      <c r="A46" s="472">
        <v>1</v>
      </c>
      <c r="B46" s="478" t="s">
        <v>128</v>
      </c>
      <c r="C46" s="499" t="s">
        <v>540</v>
      </c>
      <c r="D46" s="479" t="s">
        <v>541</v>
      </c>
      <c r="E46" s="480"/>
      <c r="F46" s="481"/>
      <c r="G46" s="477" t="s">
        <v>542</v>
      </c>
      <c r="H46" s="477" t="s">
        <v>540</v>
      </c>
      <c r="I46" s="479" t="s">
        <v>360</v>
      </c>
      <c r="J46" s="498" t="s">
        <v>358</v>
      </c>
      <c r="K46" s="496">
        <v>16</v>
      </c>
      <c r="L46" s="476"/>
      <c r="M46" s="476"/>
      <c r="N46" s="118"/>
      <c r="Q46" s="510"/>
    </row>
    <row r="47" spans="1:17" ht="17.100000000000001" customHeight="1" x14ac:dyDescent="0.25">
      <c r="J47" s="118"/>
      <c r="K47" s="486"/>
      <c r="L47" s="476"/>
      <c r="M47" s="476"/>
      <c r="N47" s="118"/>
    </row>
    <row r="48" spans="1:17" ht="17.25" customHeight="1" x14ac:dyDescent="0.3">
      <c r="H48" s="662" t="s">
        <v>362</v>
      </c>
      <c r="I48" s="662"/>
      <c r="J48" s="662"/>
      <c r="K48" s="504">
        <f>SUM(K31:K46)*1.25</f>
        <v>208.125</v>
      </c>
      <c r="L48" s="511" t="s">
        <v>364</v>
      </c>
      <c r="M48" s="505">
        <f>K48/25.4/25.4</f>
        <v>0.32259439518879041</v>
      </c>
      <c r="N48" s="511" t="s">
        <v>361</v>
      </c>
    </row>
    <row r="49" spans="1:14" ht="17.100000000000001" customHeight="1" x14ac:dyDescent="0.25">
      <c r="J49" s="491"/>
      <c r="K49" s="492"/>
      <c r="L49" s="493"/>
      <c r="M49" s="494"/>
      <c r="N49" s="493"/>
    </row>
    <row r="50" spans="1:14" ht="20.25" customHeight="1" x14ac:dyDescent="0.25">
      <c r="A50" s="485" t="s">
        <v>137</v>
      </c>
    </row>
    <row r="51" spans="1:14" x14ac:dyDescent="0.25">
      <c r="A51" s="115" t="s">
        <v>544</v>
      </c>
    </row>
    <row r="52" spans="1:14" x14ac:dyDescent="0.25">
      <c r="A52" s="115" t="s">
        <v>363</v>
      </c>
      <c r="K52" s="484"/>
    </row>
    <row r="53" spans="1:14" x14ac:dyDescent="0.25">
      <c r="A53" s="115" t="s">
        <v>655</v>
      </c>
    </row>
    <row r="54" spans="1:14" x14ac:dyDescent="0.25">
      <c r="A54" s="115" t="s">
        <v>656</v>
      </c>
    </row>
    <row r="55" spans="1:14" x14ac:dyDescent="0.25">
      <c r="A55" s="115" t="s">
        <v>670</v>
      </c>
    </row>
  </sheetData>
  <sheetProtection password="CCC8" sheet="1" objects="1" scenarios="1" selectLockedCells="1" selectUnlockedCells="1"/>
  <mergeCells count="14">
    <mergeCell ref="H48:J48"/>
    <mergeCell ref="D31:F31"/>
    <mergeCell ref="D30:F30"/>
    <mergeCell ref="D40:F40"/>
    <mergeCell ref="D41:F41"/>
    <mergeCell ref="D38:F38"/>
    <mergeCell ref="D36:F36"/>
    <mergeCell ref="D35:F35"/>
    <mergeCell ref="D45:F45"/>
    <mergeCell ref="D42:F42"/>
    <mergeCell ref="D43:F43"/>
    <mergeCell ref="D44:F44"/>
    <mergeCell ref="D32:F32"/>
    <mergeCell ref="D34:F34"/>
  </mergeCells>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34 G36 G38 G42:G43 G40" numberStoredAsText="1"/>
    <ignoredError sqref="J36:K3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7620</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7620</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35</xdr:row>
                    <xdr:rowOff>7620</xdr:rowOff>
                  </from>
                  <to>
                    <xdr:col>6</xdr:col>
                    <xdr:colOff>876300</xdr:colOff>
                    <xdr:row>36</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40</xdr:row>
                    <xdr:rowOff>7620</xdr:rowOff>
                  </from>
                  <to>
                    <xdr:col>6</xdr:col>
                    <xdr:colOff>876300</xdr:colOff>
                    <xdr:row>41</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37</xdr:row>
                    <xdr:rowOff>7620</xdr:rowOff>
                  </from>
                  <to>
                    <xdr:col>6</xdr:col>
                    <xdr:colOff>876300</xdr:colOff>
                    <xdr:row>38</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36</xdr:row>
                    <xdr:rowOff>7620</xdr:rowOff>
                  </from>
                  <to>
                    <xdr:col>6</xdr:col>
                    <xdr:colOff>876300</xdr:colOff>
                    <xdr:row>37</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39</xdr:row>
                    <xdr:rowOff>7620</xdr:rowOff>
                  </from>
                  <to>
                    <xdr:col>6</xdr:col>
                    <xdr:colOff>876300</xdr:colOff>
                    <xdr:row>40</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41</xdr:row>
                    <xdr:rowOff>7620</xdr:rowOff>
                  </from>
                  <to>
                    <xdr:col>6</xdr:col>
                    <xdr:colOff>876300</xdr:colOff>
                    <xdr:row>42</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42</xdr:row>
                    <xdr:rowOff>7620</xdr:rowOff>
                  </from>
                  <to>
                    <xdr:col>6</xdr:col>
                    <xdr:colOff>876300</xdr:colOff>
                    <xdr:row>43</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43</xdr:row>
                    <xdr:rowOff>7620</xdr:rowOff>
                  </from>
                  <to>
                    <xdr:col>6</xdr:col>
                    <xdr:colOff>876300</xdr:colOff>
                    <xdr:row>44</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34</xdr:row>
                    <xdr:rowOff>7620</xdr:rowOff>
                  </from>
                  <to>
                    <xdr:col>6</xdr:col>
                    <xdr:colOff>876300</xdr:colOff>
                    <xdr:row>35</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44</xdr:row>
                    <xdr:rowOff>7620</xdr:rowOff>
                  </from>
                  <to>
                    <xdr:col>6</xdr:col>
                    <xdr:colOff>876300</xdr:colOff>
                    <xdr:row>45</xdr:row>
                    <xdr:rowOff>0</xdr:rowOff>
                  </to>
                </anchor>
              </controlPr>
            </control>
          </mc:Choice>
        </mc:AlternateContent>
        <mc:AlternateContent xmlns:mc="http://schemas.openxmlformats.org/markup-compatibility/2006">
          <mc:Choice Requires="x14">
            <control shapeId="674633" r:id="rId16" name="Drop Down 841">
              <controlPr defaultSize="0" autoLine="0" autoPict="0">
                <anchor moveWithCells="1">
                  <from>
                    <xdr:col>6</xdr:col>
                    <xdr:colOff>0</xdr:colOff>
                    <xdr:row>33</xdr:row>
                    <xdr:rowOff>7620</xdr:rowOff>
                  </from>
                  <to>
                    <xdr:col>6</xdr:col>
                    <xdr:colOff>876300</xdr:colOff>
                    <xdr:row>34</xdr:row>
                    <xdr:rowOff>0</xdr:rowOff>
                  </to>
                </anchor>
              </controlPr>
            </control>
          </mc:Choice>
        </mc:AlternateContent>
        <mc:AlternateContent xmlns:mc="http://schemas.openxmlformats.org/markup-compatibility/2006">
          <mc:Choice Requires="x14">
            <control shapeId="706019" r:id="rId17" name="Drop Down 1507">
              <controlPr defaultSize="0" autoLine="0" autoPict="0">
                <anchor moveWithCells="1">
                  <from>
                    <xdr:col>5</xdr:col>
                    <xdr:colOff>899160</xdr:colOff>
                    <xdr:row>32</xdr:row>
                    <xdr:rowOff>7620</xdr:rowOff>
                  </from>
                  <to>
                    <xdr:col>6</xdr:col>
                    <xdr:colOff>868680</xdr:colOff>
                    <xdr:row>33</xdr:row>
                    <xdr:rowOff>0</xdr:rowOff>
                  </to>
                </anchor>
              </controlPr>
            </control>
          </mc:Choice>
        </mc:AlternateContent>
        <mc:AlternateContent xmlns:mc="http://schemas.openxmlformats.org/markup-compatibility/2006">
          <mc:Choice Requires="x14">
            <control shapeId="706028" r:id="rId18" name="Drop Down 1516">
              <controlPr defaultSize="0" autoLine="0" autoPict="0">
                <anchor moveWithCells="1">
                  <from>
                    <xdr:col>6</xdr:col>
                    <xdr:colOff>0</xdr:colOff>
                    <xdr:row>38</xdr:row>
                    <xdr:rowOff>7620</xdr:rowOff>
                  </from>
                  <to>
                    <xdr:col>6</xdr:col>
                    <xdr:colOff>876300</xdr:colOff>
                    <xdr:row>39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Mgmt'!$B$52=TRUE</xm:f>
            <x14:dxf>
              <font>
                <color theme="0"/>
              </font>
            </x14:dxf>
          </x14:cfRule>
          <xm:sqref>B36</xm:sqref>
        </x14:conditionalFormatting>
        <x14:conditionalFormatting xmlns:xm="http://schemas.microsoft.com/office/excel/2006/main">
          <x14:cfRule type="expression" priority="1" id="{8521D621-BE3D-4AAE-900E-18DA0D0FAC8E}">
            <xm:f>'Variable Mgmt'!$B$52=TRUE</xm:f>
            <x14:dxf>
              <font>
                <color rgb="FFFFFF99"/>
              </font>
            </x14:dxf>
          </x14:cfRule>
          <xm:sqref>B33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7030A0"/>
    <pageSetUpPr fitToPage="1"/>
  </sheetPr>
  <dimension ref="A1:R6"/>
  <sheetViews>
    <sheetView topLeftCell="A4" zoomScaleNormal="100" workbookViewId="0">
      <selection activeCell="Y58" sqref="Y58"/>
    </sheetView>
  </sheetViews>
  <sheetFormatPr defaultColWidth="9.109375" defaultRowHeight="13.2" x14ac:dyDescent="0.25"/>
  <cols>
    <col min="1" max="13" width="9.109375" style="85"/>
    <col min="14" max="14" width="11.88671875" style="85" customWidth="1"/>
    <col min="15" max="16" width="9.109375" style="85"/>
    <col min="17" max="17" width="15.6640625" style="85" customWidth="1"/>
    <col min="18" max="16384" width="9.109375" style="85"/>
  </cols>
  <sheetData>
    <row r="1" spans="1:18" s="76" customFormat="1" ht="47.25" customHeight="1" x14ac:dyDescent="0.3">
      <c r="A1" s="683" t="s">
        <v>697</v>
      </c>
      <c r="B1" s="684"/>
      <c r="C1" s="684"/>
      <c r="D1" s="684"/>
      <c r="E1" s="684"/>
      <c r="F1" s="684"/>
      <c r="G1" s="684"/>
      <c r="H1" s="684"/>
      <c r="I1" s="684"/>
      <c r="J1" s="684"/>
      <c r="K1" s="684"/>
      <c r="L1" s="684"/>
      <c r="M1" s="684"/>
      <c r="N1" s="684"/>
      <c r="O1" s="684"/>
      <c r="P1" s="684"/>
      <c r="Q1" s="684"/>
      <c r="R1" s="83"/>
    </row>
    <row r="6" spans="1:18" ht="20.399999999999999" x14ac:dyDescent="0.35">
      <c r="B6" s="86" t="s">
        <v>700</v>
      </c>
      <c r="N6" s="86" t="s">
        <v>696</v>
      </c>
    </row>
  </sheetData>
  <sheetProtection password="CCC8" sheet="1" objects="1" scenarios="1"/>
  <mergeCells count="1">
    <mergeCell ref="A1:Q1"/>
  </mergeCells>
  <pageMargins left="0.19" right="0.2" top="0.75" bottom="0.75" header="0.3" footer="0.3"/>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00FF"/>
  </sheetPr>
  <dimension ref="A1:Z275"/>
  <sheetViews>
    <sheetView workbookViewId="0">
      <pane ySplit="5" topLeftCell="A9" activePane="bottomLeft" state="frozenSplit"/>
      <selection pane="bottomLeft" activeCell="B31" sqref="B31"/>
    </sheetView>
  </sheetViews>
  <sheetFormatPr defaultRowHeight="13.2" x14ac:dyDescent="0.25"/>
  <cols>
    <col min="1" max="1" width="40.44140625" customWidth="1"/>
    <col min="2" max="2" width="11.88671875" customWidth="1"/>
    <col min="3" max="3" width="9.44140625" style="3" customWidth="1"/>
    <col min="4" max="4" width="10.33203125" customWidth="1"/>
    <col min="5" max="5" width="11.5546875" customWidth="1"/>
    <col min="6" max="6" width="14.88671875" customWidth="1"/>
    <col min="7" max="7" width="12.44140625" bestFit="1" customWidth="1"/>
    <col min="8" max="8" width="20.109375" customWidth="1"/>
    <col min="9" max="9" width="14.44140625" customWidth="1"/>
    <col min="10" max="10" width="12.44140625" bestFit="1" customWidth="1"/>
    <col min="11" max="11" width="12" customWidth="1"/>
    <col min="12" max="12" width="8.88671875" customWidth="1"/>
    <col min="13" max="13" width="7" customWidth="1"/>
    <col min="14" max="14" width="9.33203125" customWidth="1"/>
    <col min="16" max="16" width="7.109375" customWidth="1"/>
    <col min="17" max="17" width="11" customWidth="1"/>
    <col min="18" max="18" width="13.88671875" customWidth="1"/>
    <col min="19" max="19" width="5.44140625" customWidth="1"/>
    <col min="20" max="20" width="16.33203125" customWidth="1"/>
    <col min="22" max="22" width="9.6640625" customWidth="1"/>
    <col min="23" max="23" width="11.33203125" customWidth="1"/>
    <col min="24" max="24" width="5.88671875" customWidth="1"/>
    <col min="26" max="26" width="7.88671875" customWidth="1"/>
  </cols>
  <sheetData>
    <row r="1" spans="1:12" ht="30.75" customHeight="1" x14ac:dyDescent="0.5">
      <c r="A1" s="686" t="s">
        <v>172</v>
      </c>
      <c r="B1" s="686"/>
      <c r="C1" s="686"/>
      <c r="D1" s="686"/>
      <c r="E1" s="686"/>
      <c r="F1" s="686"/>
      <c r="G1" s="686"/>
      <c r="H1" s="686"/>
      <c r="I1" s="686"/>
    </row>
    <row r="2" spans="1:12" ht="12" customHeight="1" x14ac:dyDescent="0.25">
      <c r="A2" s="19"/>
      <c r="B2" s="19" t="s">
        <v>81</v>
      </c>
      <c r="C2" s="20"/>
      <c r="E2" s="19"/>
      <c r="F2" s="19"/>
      <c r="G2" s="19"/>
      <c r="H2" s="19"/>
      <c r="I2" s="19"/>
    </row>
    <row r="3" spans="1:12" ht="11.25" customHeight="1" x14ac:dyDescent="0.25">
      <c r="A3" s="19"/>
      <c r="B3" s="19" t="s">
        <v>100</v>
      </c>
      <c r="C3" s="21"/>
      <c r="E3" s="19"/>
      <c r="F3" s="19"/>
      <c r="G3" s="19"/>
      <c r="H3" s="19"/>
      <c r="I3" s="19"/>
    </row>
    <row r="4" spans="1:12" ht="11.25" customHeight="1" x14ac:dyDescent="0.25">
      <c r="A4" s="19"/>
      <c r="B4" s="19" t="s">
        <v>82</v>
      </c>
      <c r="C4" s="22"/>
      <c r="E4" s="19"/>
      <c r="F4" s="19"/>
      <c r="G4" s="19"/>
      <c r="H4" s="19"/>
      <c r="I4" s="19"/>
    </row>
    <row r="5" spans="1:12" x14ac:dyDescent="0.25">
      <c r="A5" s="3" t="s">
        <v>19</v>
      </c>
      <c r="B5" s="3" t="s">
        <v>6</v>
      </c>
      <c r="C5" s="3" t="s">
        <v>7</v>
      </c>
      <c r="E5" s="685" t="s">
        <v>9</v>
      </c>
      <c r="F5" s="685"/>
      <c r="G5" s="685"/>
      <c r="H5" s="685"/>
      <c r="I5" s="3" t="s">
        <v>174</v>
      </c>
    </row>
    <row r="6" spans="1:12" ht="16.2" thickBot="1" x14ac:dyDescent="0.35">
      <c r="A6" s="51" t="s">
        <v>61</v>
      </c>
      <c r="B6" s="40"/>
      <c r="C6" s="40"/>
      <c r="D6" s="40"/>
      <c r="E6" s="52"/>
      <c r="F6" s="52"/>
      <c r="G6" s="52"/>
      <c r="H6" s="52"/>
      <c r="I6" s="40"/>
    </row>
    <row r="7" spans="1:12" x14ac:dyDescent="0.25">
      <c r="A7" s="110" t="s">
        <v>145</v>
      </c>
      <c r="B7" s="9">
        <f>'Design Converter'!E6</f>
        <v>10</v>
      </c>
      <c r="C7" s="31" t="s">
        <v>0</v>
      </c>
      <c r="D7" s="80" t="s">
        <v>146</v>
      </c>
      <c r="E7" s="31"/>
      <c r="F7" s="31"/>
      <c r="G7" s="31"/>
      <c r="H7" s="31"/>
      <c r="I7" s="32">
        <v>1</v>
      </c>
    </row>
    <row r="8" spans="1:12" x14ac:dyDescent="0.25">
      <c r="A8" s="111" t="s">
        <v>143</v>
      </c>
      <c r="B8" s="10">
        <f>'Design Converter'!E7</f>
        <v>24</v>
      </c>
      <c r="C8" s="7" t="s">
        <v>0</v>
      </c>
      <c r="D8" s="7" t="s">
        <v>10</v>
      </c>
      <c r="F8" s="7"/>
      <c r="G8" s="7"/>
      <c r="H8" s="7"/>
      <c r="I8" s="25"/>
    </row>
    <row r="9" spans="1:12" x14ac:dyDescent="0.25">
      <c r="A9" s="111" t="s">
        <v>144</v>
      </c>
      <c r="B9" s="10">
        <f>'Design Converter'!E8</f>
        <v>50</v>
      </c>
      <c r="C9" s="7" t="s">
        <v>0</v>
      </c>
      <c r="D9" s="78" t="s">
        <v>147</v>
      </c>
      <c r="F9" s="7"/>
      <c r="G9" s="7"/>
      <c r="H9" s="7"/>
      <c r="I9" s="25"/>
    </row>
    <row r="10" spans="1:12" x14ac:dyDescent="0.25">
      <c r="A10" s="111"/>
      <c r="B10" s="212"/>
      <c r="C10" s="61"/>
      <c r="D10" s="78"/>
      <c r="F10" s="7"/>
      <c r="G10" s="7"/>
      <c r="H10" s="7"/>
      <c r="I10" s="25"/>
    </row>
    <row r="11" spans="1:12" x14ac:dyDescent="0.25">
      <c r="A11" s="24" t="s">
        <v>4</v>
      </c>
      <c r="B11" s="10">
        <f>'Design Converter'!E10</f>
        <v>6.3</v>
      </c>
      <c r="C11" s="7" t="s">
        <v>0</v>
      </c>
      <c r="D11" s="78" t="s">
        <v>587</v>
      </c>
      <c r="F11" s="7"/>
      <c r="G11" s="7">
        <f>(Vout+Vfwd1)*Nps</f>
        <v>13.1</v>
      </c>
      <c r="H11" s="7"/>
      <c r="I11" s="25">
        <v>1</v>
      </c>
      <c r="K11" t="str">
        <f>'Variable Mgmt'!B51&amp;" Output PSR Flyback Converter, "&amp;"VIN = "&amp;Vin&amp;" V, VOUT = "&amp;Vout&amp;" V, IOUT = "&amp;Iout&amp;" A"</f>
        <v>BIPOLAR Output PSR Flyback Converter, VIN = 24 V, VOUT = 6,3 V, IOUT = 0,1 A</v>
      </c>
    </row>
    <row r="12" spans="1:12" x14ac:dyDescent="0.25">
      <c r="A12" s="24" t="s">
        <v>5</v>
      </c>
      <c r="B12" s="594">
        <f>'Design Converter'!E11</f>
        <v>0.1</v>
      </c>
      <c r="C12" s="78" t="s">
        <v>1</v>
      </c>
      <c r="D12" s="78" t="s">
        <v>679</v>
      </c>
      <c r="F12" s="7"/>
      <c r="G12" s="7"/>
      <c r="H12" s="7"/>
      <c r="I12" s="25">
        <v>1</v>
      </c>
      <c r="K12" t="str">
        <f>'Variable Mgmt'!B51&amp;" Output PSR Flyback Converter, "&amp;"VIN = "&amp;Vin&amp;" V, VOUT1 = "&amp;Vout&amp;" V, IOUT1 = "&amp;Iout&amp;" A"&amp;", VOUT2 = "&amp;Vout2_actual&amp;" V, IOUT2 = "&amp;Iout2_actual&amp;" A"</f>
        <v>BIPOLAR Output PSR Flyback Converter, VIN = 24 V, VOUT1 = 6,3 V, IOUT1 = 0,1 A, VOUT2 = -15 V, IOUT2 = -0,1 A</v>
      </c>
      <c r="L12" s="77"/>
    </row>
    <row r="13" spans="1:12" x14ac:dyDescent="0.25">
      <c r="A13" s="111" t="s">
        <v>169</v>
      </c>
      <c r="B13" s="160">
        <f>Vout/Iout</f>
        <v>62.999999999999993</v>
      </c>
      <c r="C13" s="114" t="s">
        <v>45</v>
      </c>
      <c r="D13" s="112" t="s">
        <v>170</v>
      </c>
      <c r="F13" s="7"/>
      <c r="G13" s="7"/>
      <c r="H13" s="7"/>
      <c r="I13" s="25"/>
    </row>
    <row r="14" spans="1:12" x14ac:dyDescent="0.25">
      <c r="A14" s="111" t="s">
        <v>153</v>
      </c>
      <c r="B14" s="593">
        <f>Vout*Iout</f>
        <v>0.63</v>
      </c>
      <c r="C14" s="61" t="s">
        <v>45</v>
      </c>
      <c r="D14" s="112" t="s">
        <v>159</v>
      </c>
      <c r="F14" s="7"/>
      <c r="G14" s="7"/>
      <c r="H14" s="7"/>
      <c r="I14" s="25"/>
      <c r="L14" s="77"/>
    </row>
    <row r="15" spans="1:12" x14ac:dyDescent="0.25">
      <c r="B15" s="379"/>
      <c r="C15" s="61"/>
      <c r="D15" s="112"/>
      <c r="F15" s="7"/>
      <c r="G15" s="7"/>
      <c r="H15" s="7"/>
      <c r="I15" s="25"/>
      <c r="L15" s="77"/>
    </row>
    <row r="16" spans="1:12" x14ac:dyDescent="0.25">
      <c r="A16" s="111" t="s">
        <v>633</v>
      </c>
      <c r="B16" s="595">
        <f>ABS('Design Converter'!E12)</f>
        <v>15</v>
      </c>
      <c r="C16" s="7" t="s">
        <v>0</v>
      </c>
      <c r="D16" s="78" t="s">
        <v>589</v>
      </c>
      <c r="F16" s="7"/>
      <c r="G16" s="7"/>
      <c r="H16" s="7"/>
      <c r="I16" s="25"/>
      <c r="L16" s="77"/>
    </row>
    <row r="17" spans="1:23" x14ac:dyDescent="0.25">
      <c r="A17" s="111" t="s">
        <v>634</v>
      </c>
      <c r="B17" s="638">
        <f>'Design Converter'!E12</f>
        <v>-15</v>
      </c>
      <c r="C17" s="61" t="s">
        <v>0</v>
      </c>
      <c r="D17" s="78"/>
      <c r="F17" s="7"/>
      <c r="G17" s="7"/>
      <c r="H17" s="7"/>
      <c r="I17" s="25"/>
      <c r="L17" s="77"/>
    </row>
    <row r="18" spans="1:23" x14ac:dyDescent="0.25">
      <c r="A18" s="111" t="s">
        <v>514</v>
      </c>
      <c r="B18" s="595">
        <f>ABS('Design Converter'!E13)</f>
        <v>0.1</v>
      </c>
      <c r="C18" s="78" t="s">
        <v>1</v>
      </c>
      <c r="D18" s="78" t="s">
        <v>588</v>
      </c>
      <c r="F18" s="7"/>
      <c r="G18" s="7"/>
      <c r="H18" s="7"/>
      <c r="I18" s="25"/>
      <c r="L18" s="77"/>
    </row>
    <row r="19" spans="1:23" x14ac:dyDescent="0.25">
      <c r="A19" s="112" t="s">
        <v>678</v>
      </c>
      <c r="B19">
        <f>Iout2*SIGN(Vout2_actual)</f>
        <v>-0.1</v>
      </c>
      <c r="C19" s="77" t="s">
        <v>1</v>
      </c>
      <c r="F19" s="7"/>
      <c r="G19" s="7"/>
      <c r="H19" s="7"/>
      <c r="I19" s="25"/>
      <c r="L19" s="77"/>
    </row>
    <row r="20" spans="1:23" x14ac:dyDescent="0.25">
      <c r="A20" s="111" t="s">
        <v>515</v>
      </c>
      <c r="B20" s="593">
        <f>ABS(Vout2/Iout2)</f>
        <v>150</v>
      </c>
      <c r="C20" s="114" t="s">
        <v>45</v>
      </c>
      <c r="D20" s="112" t="s">
        <v>517</v>
      </c>
      <c r="F20" s="7"/>
      <c r="G20" s="7"/>
      <c r="H20" s="7"/>
      <c r="I20" s="25"/>
      <c r="K20" s="77" t="s">
        <v>553</v>
      </c>
      <c r="L20" s="77" t="s">
        <v>554</v>
      </c>
    </row>
    <row r="21" spans="1:23" x14ac:dyDescent="0.25">
      <c r="A21" s="111" t="s">
        <v>516</v>
      </c>
      <c r="B21" s="593">
        <f>ABS(Vout2*Iout2)</f>
        <v>1.5</v>
      </c>
      <c r="C21" s="61" t="s">
        <v>45</v>
      </c>
      <c r="D21" s="112" t="s">
        <v>518</v>
      </c>
      <c r="F21" s="7"/>
      <c r="G21" s="7"/>
      <c r="H21" s="7"/>
      <c r="I21" s="25"/>
      <c r="K21">
        <v>5</v>
      </c>
      <c r="L21" s="77">
        <v>-5</v>
      </c>
    </row>
    <row r="22" spans="1:23" x14ac:dyDescent="0.25">
      <c r="A22" s="111" t="s">
        <v>519</v>
      </c>
      <c r="B22" s="593">
        <f>CHOOSE(MODE, Pout, Pout + Pout2)</f>
        <v>2.13</v>
      </c>
      <c r="C22" s="61" t="s">
        <v>45</v>
      </c>
      <c r="D22" s="112" t="s">
        <v>520</v>
      </c>
      <c r="F22" s="7"/>
      <c r="G22" s="7"/>
      <c r="H22" s="7"/>
      <c r="I22" s="25"/>
      <c r="K22">
        <v>0.2</v>
      </c>
      <c r="L22" s="77">
        <v>0.2</v>
      </c>
    </row>
    <row r="23" spans="1:23" x14ac:dyDescent="0.25">
      <c r="A23" s="111"/>
      <c r="B23" s="379"/>
      <c r="C23" s="61"/>
      <c r="D23" s="112"/>
      <c r="F23" s="7"/>
      <c r="G23" s="7"/>
      <c r="H23" s="7"/>
      <c r="I23" s="25"/>
      <c r="L23" s="77"/>
    </row>
    <row r="24" spans="1:23" x14ac:dyDescent="0.25">
      <c r="A24" s="34" t="str">
        <f>CHOOSE(MODE, "Turns Ratio, PRI : SEC", "Turns Ratio, PRI : SEC1")</f>
        <v>Turns Ratio, PRI : SEC1</v>
      </c>
      <c r="B24" s="576" t="str">
        <f>Nps</f>
        <v>2</v>
      </c>
      <c r="C24" s="61"/>
      <c r="D24" s="112" t="str">
        <f>CHOOSE(MODE, "TR primary-secondary (single output) = Np/Ns", "TR primary-secondary1 (dual output) = Np/Nsec1")</f>
        <v>TR primary-secondary1 (dual output) = Np/Nsec1</v>
      </c>
      <c r="F24" s="7"/>
      <c r="G24" s="7"/>
      <c r="H24" s="7"/>
      <c r="I24" s="25"/>
      <c r="L24" s="77"/>
    </row>
    <row r="25" spans="1:23" x14ac:dyDescent="0.25">
      <c r="A25" s="34" t="s">
        <v>601</v>
      </c>
      <c r="B25" s="180">
        <f>Npri_sec2</f>
        <v>0.85901639344262293</v>
      </c>
      <c r="D25" s="112" t="s">
        <v>602</v>
      </c>
      <c r="F25" s="7"/>
      <c r="G25" s="7"/>
      <c r="H25" s="7"/>
      <c r="I25" s="25"/>
      <c r="L25" s="77"/>
    </row>
    <row r="26" spans="1:23" x14ac:dyDescent="0.25">
      <c r="A26" s="34" t="s">
        <v>614</v>
      </c>
      <c r="B26" s="637">
        <f>Nsec1sec2</f>
        <v>2.3282442748091605</v>
      </c>
      <c r="D26" s="77" t="s">
        <v>603</v>
      </c>
      <c r="F26" s="7"/>
      <c r="G26" s="7"/>
      <c r="H26" s="7"/>
      <c r="I26" s="25"/>
      <c r="L26" s="77"/>
      <c r="R26" s="164" t="s">
        <v>402</v>
      </c>
      <c r="V26" s="164" t="s">
        <v>402</v>
      </c>
    </row>
    <row r="27" spans="1:23" x14ac:dyDescent="0.25">
      <c r="H27" s="7"/>
      <c r="I27" s="25"/>
      <c r="K27" s="164" t="s">
        <v>552</v>
      </c>
      <c r="R27" s="164" t="s">
        <v>596</v>
      </c>
      <c r="V27" s="164" t="s">
        <v>597</v>
      </c>
    </row>
    <row r="28" spans="1:23" x14ac:dyDescent="0.25">
      <c r="A28" s="77" t="s">
        <v>635</v>
      </c>
      <c r="B28" s="5">
        <f>Vout+VIN_max/Nps</f>
        <v>31.3</v>
      </c>
      <c r="C28" s="77" t="s">
        <v>0</v>
      </c>
      <c r="G28" s="7"/>
      <c r="H28" s="7"/>
      <c r="I28" s="25"/>
      <c r="K28" s="77" t="s">
        <v>549</v>
      </c>
      <c r="L28">
        <v>1</v>
      </c>
      <c r="R28" t="str">
        <f>"5 : 1"</f>
        <v>5 : 1</v>
      </c>
      <c r="S28">
        <v>1</v>
      </c>
      <c r="V28" t="str">
        <f>CHOOSE(MODE, "Functional", "5 : 1")</f>
        <v>5 : 1</v>
      </c>
      <c r="W28">
        <v>1</v>
      </c>
    </row>
    <row r="29" spans="1:23" x14ac:dyDescent="0.25">
      <c r="F29" s="7"/>
      <c r="G29" s="7"/>
      <c r="H29" s="7"/>
      <c r="I29" s="25"/>
      <c r="K29" s="77" t="s">
        <v>550</v>
      </c>
      <c r="L29">
        <v>2</v>
      </c>
      <c r="R29" t="str">
        <f>"4 : 1"</f>
        <v>4 : 1</v>
      </c>
      <c r="S29">
        <v>2</v>
      </c>
      <c r="V29" t="str">
        <f>CHOOSE(MODE, "Basic", "4 : 1")</f>
        <v>4 : 1</v>
      </c>
      <c r="W29">
        <v>2</v>
      </c>
    </row>
    <row r="30" spans="1:23" x14ac:dyDescent="0.25">
      <c r="A30" s="111" t="s">
        <v>449</v>
      </c>
      <c r="B30" s="378">
        <f>1%*Vout*1000</f>
        <v>63</v>
      </c>
      <c r="C30" s="61" t="s">
        <v>149</v>
      </c>
      <c r="D30" s="112" t="s">
        <v>467</v>
      </c>
      <c r="F30" s="7"/>
      <c r="G30" s="7"/>
      <c r="H30" s="7"/>
      <c r="I30" s="25"/>
      <c r="K30" s="77" t="s">
        <v>551</v>
      </c>
      <c r="L30">
        <v>3</v>
      </c>
      <c r="R30" t="str">
        <f>"3 : 1"</f>
        <v>3 : 1</v>
      </c>
      <c r="S30">
        <v>3</v>
      </c>
      <c r="V30" t="str">
        <f>CHOOSE(MODE, "Reinforced", "3 : 1")</f>
        <v>3 : 1</v>
      </c>
      <c r="W30">
        <v>3</v>
      </c>
    </row>
    <row r="31" spans="1:23" x14ac:dyDescent="0.25">
      <c r="A31" s="111" t="s">
        <v>571</v>
      </c>
      <c r="B31" s="378">
        <f>1%*Vout2*1000</f>
        <v>150</v>
      </c>
      <c r="C31" s="61" t="s">
        <v>149</v>
      </c>
      <c r="D31" s="112" t="s">
        <v>570</v>
      </c>
      <c r="F31" s="7"/>
      <c r="G31" s="7"/>
      <c r="H31" s="7"/>
      <c r="I31" s="25"/>
      <c r="Q31" s="536"/>
      <c r="R31" t="str">
        <f>"2 : 1"</f>
        <v>2 : 1</v>
      </c>
      <c r="S31">
        <v>4</v>
      </c>
      <c r="V31" t="str">
        <f>CHOOSE(MODE, "", "2 : 1")</f>
        <v>2 : 1</v>
      </c>
      <c r="W31">
        <v>4</v>
      </c>
    </row>
    <row r="32" spans="1:23" x14ac:dyDescent="0.25">
      <c r="F32" s="7"/>
      <c r="G32" s="7"/>
      <c r="H32" s="7"/>
      <c r="I32" s="25"/>
      <c r="R32" t="str">
        <f>"1.5 : 1"</f>
        <v>1.5 : 1</v>
      </c>
      <c r="S32">
        <v>5</v>
      </c>
      <c r="V32" t="str">
        <f>CHOOSE(MODE, "", "1 : 1")</f>
        <v>1 : 1</v>
      </c>
      <c r="W32">
        <v>5</v>
      </c>
    </row>
    <row r="33" spans="1:23" x14ac:dyDescent="0.25">
      <c r="A33" s="111" t="s">
        <v>47</v>
      </c>
      <c r="B33" s="639">
        <v>0.9</v>
      </c>
      <c r="C33" s="61"/>
      <c r="D33" s="78" t="s">
        <v>176</v>
      </c>
      <c r="F33" s="7"/>
      <c r="G33" s="7"/>
      <c r="H33" s="7"/>
      <c r="I33" s="25"/>
      <c r="R33" t="str">
        <f>"1 : 1"</f>
        <v>1 : 1</v>
      </c>
      <c r="S33">
        <v>6</v>
      </c>
      <c r="V33" t="str">
        <f>CHOOSE(MODE, "", "1 : 2")</f>
        <v>1 : 2</v>
      </c>
      <c r="W33">
        <v>6</v>
      </c>
    </row>
    <row r="34" spans="1:23" x14ac:dyDescent="0.25">
      <c r="A34" s="111" t="s">
        <v>157</v>
      </c>
      <c r="B34" s="428">
        <f>Pout/Efficiency</f>
        <v>0.7</v>
      </c>
      <c r="C34" s="61" t="s">
        <v>45</v>
      </c>
      <c r="D34" s="112" t="s">
        <v>468</v>
      </c>
      <c r="F34" s="7"/>
      <c r="G34" s="7"/>
      <c r="H34" s="7"/>
      <c r="I34" s="25"/>
      <c r="R34" t="str">
        <f>"1 : 1.5"</f>
        <v>1 : 1.5</v>
      </c>
      <c r="S34">
        <v>7</v>
      </c>
      <c r="V34" t="str">
        <f>CHOOSE(MODE, "", "1 : 3")</f>
        <v>1 : 3</v>
      </c>
      <c r="W34">
        <v>7</v>
      </c>
    </row>
    <row r="35" spans="1:23" x14ac:dyDescent="0.25">
      <c r="A35" s="111" t="s">
        <v>154</v>
      </c>
      <c r="B35" s="169">
        <f>Pin/VIN_min</f>
        <v>6.9999999999999993E-2</v>
      </c>
      <c r="C35" s="61" t="s">
        <v>1</v>
      </c>
      <c r="D35" s="78"/>
      <c r="F35" s="7"/>
      <c r="G35" s="7"/>
      <c r="H35" s="7"/>
      <c r="I35" s="25"/>
      <c r="R35" t="str">
        <f>"1 : 2"</f>
        <v>1 : 2</v>
      </c>
      <c r="S35">
        <v>8</v>
      </c>
      <c r="V35" t="str">
        <f>CHOOSE(MODE, "", "1 : 4")</f>
        <v>1 : 4</v>
      </c>
      <c r="W35">
        <v>8</v>
      </c>
    </row>
    <row r="36" spans="1:23" x14ac:dyDescent="0.25">
      <c r="A36" s="111" t="s">
        <v>155</v>
      </c>
      <c r="B36" s="169">
        <f>Pin/VIN_nom</f>
        <v>2.9166666666666664E-2</v>
      </c>
      <c r="C36" s="61" t="s">
        <v>1</v>
      </c>
      <c r="D36" s="112" t="s">
        <v>160</v>
      </c>
      <c r="F36" s="7"/>
      <c r="G36" s="7"/>
      <c r="H36" s="7"/>
      <c r="I36" s="25">
        <v>1</v>
      </c>
      <c r="K36" s="77"/>
      <c r="R36" t="str">
        <f>"1 : 3"</f>
        <v>1 : 3</v>
      </c>
      <c r="S36">
        <v>9</v>
      </c>
      <c r="V36" t="str">
        <f>CHOOSE(MODE, "", "1 : 5")</f>
        <v>1 : 5</v>
      </c>
      <c r="W36">
        <v>9</v>
      </c>
    </row>
    <row r="37" spans="1:23" x14ac:dyDescent="0.25">
      <c r="A37" s="111" t="s">
        <v>156</v>
      </c>
      <c r="B37" s="169">
        <f>Pin/VIN_max</f>
        <v>1.3999999999999999E-2</v>
      </c>
      <c r="C37" s="61" t="s">
        <v>1</v>
      </c>
      <c r="D37" s="78"/>
      <c r="F37" s="7"/>
      <c r="G37" s="7"/>
      <c r="H37" s="7"/>
      <c r="I37" s="25"/>
      <c r="R37" t="str">
        <f>"1 : 4"</f>
        <v>1 : 4</v>
      </c>
      <c r="S37">
        <v>10</v>
      </c>
    </row>
    <row r="38" spans="1:23" x14ac:dyDescent="0.25">
      <c r="A38" s="111" t="s">
        <v>632</v>
      </c>
      <c r="B38" s="537">
        <f>CHOOSE(MODE, 'Calculations - Single'!N110, 'Calculations - Dual'!O110+'Calculations - Dual'!P110)</f>
        <v>3.7003246753246755</v>
      </c>
      <c r="C38" s="112" t="s">
        <v>45</v>
      </c>
      <c r="D38" s="78" t="b">
        <f>B38&lt;Pout_total</f>
        <v>0</v>
      </c>
      <c r="F38" s="7"/>
      <c r="G38" s="7"/>
      <c r="H38" s="7"/>
      <c r="I38" s="25"/>
      <c r="Q38" s="583" t="s">
        <v>401</v>
      </c>
      <c r="R38" s="471" t="str">
        <f>CHOOSE(Turns_Ratio, "5 : 1", "4 : 1", "3 : 1", "2 : 1", "1.5 : 1", "1 : 1", "1 : 1.5", "1 : 2", "1 : 3", "1 : 4")</f>
        <v>2 : 1</v>
      </c>
      <c r="S38" s="3">
        <v>4</v>
      </c>
      <c r="U38" s="583" t="s">
        <v>595</v>
      </c>
      <c r="V38" s="457" t="str">
        <f>CHOOSE(Turns_Ratio2, "5 : 1", "4 : 1", "3 : 1", "2 : 1", "1 : 1", "1 : 2", "1 : 3", "1 : 4", "1 : 5")</f>
        <v>1 : 5</v>
      </c>
      <c r="W38" s="3">
        <v>9</v>
      </c>
    </row>
    <row r="39" spans="1:23" x14ac:dyDescent="0.25">
      <c r="A39" s="111" t="s">
        <v>441</v>
      </c>
      <c r="B39" s="134">
        <v>350000</v>
      </c>
      <c r="C39" s="112" t="s">
        <v>8</v>
      </c>
      <c r="D39" s="78" t="s">
        <v>590</v>
      </c>
      <c r="F39" s="7"/>
      <c r="G39" s="7"/>
      <c r="H39" s="7"/>
      <c r="I39" s="25"/>
    </row>
    <row r="40" spans="1:23" x14ac:dyDescent="0.25">
      <c r="A40" s="26" t="s">
        <v>18</v>
      </c>
      <c r="B40" s="27">
        <v>1.21</v>
      </c>
      <c r="C40" s="7" t="s">
        <v>0</v>
      </c>
      <c r="D40" s="78" t="s">
        <v>591</v>
      </c>
      <c r="F40" s="7"/>
      <c r="G40" s="7"/>
      <c r="H40" s="7"/>
      <c r="I40" s="25"/>
      <c r="Q40" s="77" t="s">
        <v>460</v>
      </c>
      <c r="R40" s="471" t="str">
        <f>CHOOSE(Turns_Ratio, "5", "4 ", "3", "2", "1.5", "1", "0.66", "0.5", "0.33", "0.25")</f>
        <v>2</v>
      </c>
    </row>
    <row r="41" spans="1:23" x14ac:dyDescent="0.25">
      <c r="A41" s="111" t="s">
        <v>399</v>
      </c>
      <c r="B41" s="170">
        <f>'Design Converter'!E27*1000</f>
        <v>150000</v>
      </c>
      <c r="C41" s="114" t="s">
        <v>45</v>
      </c>
      <c r="D41" s="112" t="s">
        <v>592</v>
      </c>
      <c r="F41" s="7"/>
      <c r="G41" s="7"/>
      <c r="H41" s="7"/>
      <c r="I41" s="25"/>
      <c r="Q41" s="77" t="s">
        <v>509</v>
      </c>
      <c r="R41" s="471" t="str">
        <f>CHOOSE(Turns_Ratio, "5", "4 ", "3", "2", "1.5", "1", "0.66", "0.5", "0.33", "0.25")</f>
        <v>2</v>
      </c>
      <c r="V41" s="77" t="s">
        <v>599</v>
      </c>
      <c r="W41" s="164" t="str">
        <f>CHOOSE(Turns_Ratio, "1", "1", "1", "1", "1", "1", "1.5", "2", "3", "4")</f>
        <v>1</v>
      </c>
    </row>
    <row r="42" spans="1:23" x14ac:dyDescent="0.25">
      <c r="A42" s="111"/>
      <c r="B42" s="378"/>
      <c r="C42" s="114"/>
      <c r="D42" s="61"/>
      <c r="F42" s="7"/>
      <c r="G42" s="7"/>
      <c r="H42" s="7"/>
      <c r="I42" s="25"/>
      <c r="K42" s="77" t="s">
        <v>403</v>
      </c>
      <c r="Q42" s="77" t="s">
        <v>598</v>
      </c>
      <c r="R42" s="651">
        <f>ABS((Vout2+Vfwd1)/(Vout+Vfwd1))</f>
        <v>2.3282442748091605</v>
      </c>
      <c r="V42" s="77" t="s">
        <v>598</v>
      </c>
      <c r="W42" s="636">
        <f>Nsec1sec2</f>
        <v>2.3282442748091605</v>
      </c>
    </row>
    <row r="43" spans="1:23" ht="15.6" x14ac:dyDescent="0.35">
      <c r="A43" s="111" t="s">
        <v>400</v>
      </c>
      <c r="B43" s="537">
        <v>0.1</v>
      </c>
      <c r="C43" s="78" t="s">
        <v>45</v>
      </c>
      <c r="D43" s="112" t="s">
        <v>593</v>
      </c>
      <c r="F43" s="619" t="s">
        <v>594</v>
      </c>
      <c r="G43" s="7"/>
      <c r="H43" s="7"/>
      <c r="I43" s="25"/>
      <c r="Q43" s="487" t="s">
        <v>510</v>
      </c>
      <c r="R43" s="634">
        <f>Nps/Nsec1sec2</f>
        <v>0.85901639344262293</v>
      </c>
      <c r="V43" s="3"/>
      <c r="W43" s="635">
        <f>W41*W42</f>
        <v>2.3282442748091605</v>
      </c>
    </row>
    <row r="44" spans="1:23" ht="13.8" thickBot="1" x14ac:dyDescent="0.3">
      <c r="A44" s="28"/>
      <c r="B44" s="29"/>
      <c r="C44" s="81"/>
      <c r="D44" s="29"/>
      <c r="E44" s="29"/>
      <c r="F44" s="29"/>
      <c r="G44" s="29"/>
      <c r="H44" s="29"/>
      <c r="I44" s="30"/>
      <c r="K44" s="453" t="str">
        <f>"SCH_"&amp;B51&amp;"_"&amp;F56&amp;"_"&amp;I56&amp;"_"&amp;F50</f>
        <v>SCH_BIPOLAR_UVLOadj_SSadj_TCno</v>
      </c>
      <c r="R44" s="375">
        <f>ROUND(Nsec1sec2,1)</f>
        <v>2.2999999999999998</v>
      </c>
      <c r="V44" s="164" t="s">
        <v>600</v>
      </c>
      <c r="W44" s="625" t="str">
        <f>CHOOSE(MODE, R38, R38&amp;" : "&amp;ROUND(W43,2))</f>
        <v>2 : 1 : 2,33</v>
      </c>
    </row>
    <row r="45" spans="1:23" x14ac:dyDescent="0.25">
      <c r="A45" s="7"/>
      <c r="B45" s="7"/>
      <c r="C45" s="40"/>
      <c r="D45" s="7"/>
      <c r="E45" s="7"/>
      <c r="F45" s="7"/>
      <c r="G45" s="7"/>
      <c r="H45" s="7"/>
      <c r="I45" s="7"/>
    </row>
    <row r="46" spans="1:23" ht="16.2" thickBot="1" x14ac:dyDescent="0.35">
      <c r="A46" s="51" t="s">
        <v>581</v>
      </c>
      <c r="B46" s="7"/>
      <c r="C46" s="40"/>
      <c r="D46" s="7"/>
      <c r="E46" s="7"/>
      <c r="F46" s="7"/>
      <c r="G46" s="7"/>
      <c r="H46" s="7"/>
      <c r="I46" s="7"/>
    </row>
    <row r="47" spans="1:23" ht="15.6" x14ac:dyDescent="0.3">
      <c r="A47" s="388"/>
      <c r="B47" s="389"/>
      <c r="C47" s="390"/>
      <c r="D47" s="389"/>
      <c r="E47" s="389"/>
      <c r="F47" s="389"/>
      <c r="G47" s="389"/>
      <c r="H47" s="389"/>
      <c r="I47" s="445"/>
      <c r="J47" s="445"/>
      <c r="K47" s="445"/>
      <c r="L47" s="445"/>
      <c r="M47" s="445"/>
      <c r="N47" s="445"/>
      <c r="O47" s="24"/>
    </row>
    <row r="48" spans="1:23" x14ac:dyDescent="0.25">
      <c r="A48" s="385" t="s">
        <v>367</v>
      </c>
      <c r="B48" s="78" t="s">
        <v>368</v>
      </c>
      <c r="C48" s="446">
        <v>1</v>
      </c>
      <c r="D48" s="7"/>
      <c r="E48" s="385" t="s">
        <v>387</v>
      </c>
      <c r="F48" s="78" t="s">
        <v>371</v>
      </c>
      <c r="G48" s="167" t="b">
        <v>1</v>
      </c>
      <c r="I48" s="161" t="s">
        <v>303</v>
      </c>
      <c r="J48" s="167">
        <v>1</v>
      </c>
      <c r="K48" t="str">
        <f>B51&amp;", "&amp;F50&amp;", "&amp;I50&amp;", "&amp;F56&amp;", "&amp;I56</f>
        <v>BIPOLAR, TCno, IlimRes, UVLOadj, SSadj</v>
      </c>
      <c r="O48" s="24"/>
      <c r="Q48" s="403" t="s">
        <v>337</v>
      </c>
      <c r="R48" s="3" t="s">
        <v>332</v>
      </c>
      <c r="S48" s="375">
        <v>1</v>
      </c>
    </row>
    <row r="49" spans="1:26" x14ac:dyDescent="0.25">
      <c r="A49" s="384"/>
      <c r="B49" s="78" t="s">
        <v>369</v>
      </c>
      <c r="C49" s="446">
        <v>2</v>
      </c>
      <c r="D49" s="7"/>
      <c r="E49" s="37"/>
      <c r="F49" s="78" t="s">
        <v>372</v>
      </c>
      <c r="G49" s="167" t="b">
        <v>0</v>
      </c>
      <c r="I49" s="161" t="s">
        <v>304</v>
      </c>
      <c r="J49" s="167">
        <v>2</v>
      </c>
      <c r="K49" t="str">
        <f>C51&amp;", "&amp;G50&amp;", "&amp;J50&amp;", "&amp;G56&amp;", "&amp;J56</f>
        <v>2, 2, 2, 1, 1</v>
      </c>
      <c r="O49" s="24"/>
      <c r="Q49" s="403" t="s">
        <v>339</v>
      </c>
      <c r="R49" s="3" t="s">
        <v>333</v>
      </c>
      <c r="S49" s="375">
        <v>2</v>
      </c>
    </row>
    <row r="50" spans="1:26" x14ac:dyDescent="0.25">
      <c r="B50" s="77" t="s">
        <v>523</v>
      </c>
      <c r="C50" s="598">
        <v>3</v>
      </c>
      <c r="D50" s="7"/>
      <c r="E50" s="452" t="s">
        <v>388</v>
      </c>
      <c r="F50" s="387" t="str">
        <f>CHOOSE(G50, "TCyes", "TCno")</f>
        <v>TCno</v>
      </c>
      <c r="G50" s="382">
        <v>2</v>
      </c>
      <c r="H50" s="452" t="s">
        <v>302</v>
      </c>
      <c r="I50" s="448" t="str">
        <f>CHOOSE(J50, "IlimGND", "IlimRes")</f>
        <v>IlimRes</v>
      </c>
      <c r="J50" s="382">
        <f>IF(C56=4, 1, 2)</f>
        <v>2</v>
      </c>
      <c r="K50" t="str">
        <f>C51&amp;G50&amp;J50&amp;G56&amp;J56</f>
        <v>22211</v>
      </c>
      <c r="O50" s="24"/>
      <c r="Q50" s="403" t="s">
        <v>340</v>
      </c>
      <c r="R50" s="3" t="s">
        <v>334</v>
      </c>
      <c r="S50" s="375">
        <v>3</v>
      </c>
    </row>
    <row r="51" spans="1:26" x14ac:dyDescent="0.25">
      <c r="A51" s="449" t="s">
        <v>287</v>
      </c>
      <c r="B51" s="447" t="str">
        <f>CHOOSE(C51,"SINGLE", IF(Vout2_actual&gt;0, "DUAL", "BIPOLAR"))</f>
        <v>BIPOLAR</v>
      </c>
      <c r="C51" s="386">
        <v>2</v>
      </c>
      <c r="D51" s="7"/>
      <c r="E51" s="7"/>
      <c r="G51" s="79">
        <f>TC</f>
        <v>2</v>
      </c>
      <c r="I51" s="382"/>
      <c r="J51" s="7"/>
      <c r="O51" s="24"/>
      <c r="Q51" s="403" t="s">
        <v>338</v>
      </c>
      <c r="R51" s="3" t="s">
        <v>335</v>
      </c>
      <c r="S51" s="375">
        <v>4</v>
      </c>
    </row>
    <row r="52" spans="1:26" x14ac:dyDescent="0.25">
      <c r="A52" s="384"/>
      <c r="B52" s="3" t="b">
        <f>CHOOSE(C51, TRUE, FALSE)</f>
        <v>0</v>
      </c>
      <c r="C52" s="79" t="str">
        <f>CHOOSE(C51,"1", IF(Vout2&gt;0, "2", "3"))</f>
        <v>2</v>
      </c>
      <c r="O52" s="24"/>
      <c r="Q52" s="403" t="s">
        <v>342</v>
      </c>
      <c r="R52" s="3" t="s">
        <v>341</v>
      </c>
      <c r="S52" s="375">
        <v>5</v>
      </c>
    </row>
    <row r="53" spans="1:26" x14ac:dyDescent="0.25">
      <c r="O53" s="24"/>
      <c r="Q53" s="451" t="s">
        <v>336</v>
      </c>
      <c r="R53" s="457" t="str">
        <f>CHOOSE(S53,"6.3V","10V","16V","25V","50V")</f>
        <v>10V</v>
      </c>
      <c r="S53" s="471">
        <f>IF(Vout&lt;=5, 1, IF(Vout&lt;=8, 2, IF(Vout&lt;=12, 3, IF(Vout&lt;=20, 4, 5))))</f>
        <v>2</v>
      </c>
    </row>
    <row r="54" spans="1:26" x14ac:dyDescent="0.25">
      <c r="A54" s="391" t="s">
        <v>189</v>
      </c>
      <c r="B54" s="112" t="s">
        <v>371</v>
      </c>
      <c r="C54" s="446">
        <v>1</v>
      </c>
      <c r="D54" s="7"/>
      <c r="E54" s="164" t="s">
        <v>322</v>
      </c>
      <c r="F54" s="487" t="s">
        <v>558</v>
      </c>
      <c r="G54" s="167">
        <v>1</v>
      </c>
      <c r="H54" s="385" t="s">
        <v>298</v>
      </c>
      <c r="I54" s="78" t="s">
        <v>558</v>
      </c>
      <c r="J54" s="167">
        <v>1</v>
      </c>
      <c r="L54" s="161" t="s">
        <v>320</v>
      </c>
      <c r="M54" s="167">
        <v>1</v>
      </c>
      <c r="O54" s="24"/>
    </row>
    <row r="55" spans="1:26" x14ac:dyDescent="0.25">
      <c r="A55" s="392"/>
      <c r="B55" s="112" t="s">
        <v>372</v>
      </c>
      <c r="C55" s="446">
        <v>2</v>
      </c>
      <c r="D55" s="7"/>
      <c r="F55" s="487" t="s">
        <v>559</v>
      </c>
      <c r="G55" s="167">
        <v>2</v>
      </c>
      <c r="H55" s="37"/>
      <c r="I55" s="78" t="s">
        <v>680</v>
      </c>
      <c r="J55" s="167">
        <v>2</v>
      </c>
      <c r="L55" s="161" t="s">
        <v>321</v>
      </c>
      <c r="M55" s="167">
        <v>2</v>
      </c>
      <c r="O55" s="24"/>
      <c r="R55" s="3" t="s">
        <v>660</v>
      </c>
      <c r="S55" s="3"/>
      <c r="T55" s="3" t="s">
        <v>116</v>
      </c>
      <c r="U55" s="3" t="s">
        <v>661</v>
      </c>
    </row>
    <row r="56" spans="1:26" x14ac:dyDescent="0.25">
      <c r="A56" s="450" t="s">
        <v>288</v>
      </c>
      <c r="B56" s="447" t="str">
        <f>CHOOSE(C56, "YES", "NO")</f>
        <v>YES</v>
      </c>
      <c r="C56" s="386">
        <v>1</v>
      </c>
      <c r="D56" s="7"/>
      <c r="E56" s="451" t="s">
        <v>308</v>
      </c>
      <c r="F56" s="448" t="str">
        <f>CHOOSE(G56, "UVLOadj", "UVLOint")</f>
        <v>UVLOadj</v>
      </c>
      <c r="G56" s="382">
        <v>1</v>
      </c>
      <c r="H56" s="452" t="s">
        <v>289</v>
      </c>
      <c r="I56" s="387" t="str">
        <f>CHOOSE(J56, "SSadj", "SSint")</f>
        <v>SSadj</v>
      </c>
      <c r="J56" s="382">
        <v>1</v>
      </c>
      <c r="L56" s="383" t="s">
        <v>300</v>
      </c>
      <c r="M56" s="382">
        <v>1</v>
      </c>
      <c r="O56" s="24"/>
      <c r="R56" s="470" t="s">
        <v>345</v>
      </c>
      <c r="S56" s="375">
        <v>1</v>
      </c>
      <c r="T56" s="77" t="s">
        <v>351</v>
      </c>
      <c r="U56" s="473">
        <v>0.5</v>
      </c>
    </row>
    <row r="57" spans="1:26" ht="13.8" thickBot="1" x14ac:dyDescent="0.3">
      <c r="A57" s="28"/>
      <c r="B57" s="29"/>
      <c r="C57" s="166"/>
      <c r="D57" s="29"/>
      <c r="E57" s="29"/>
      <c r="F57" s="29"/>
      <c r="G57" s="29"/>
      <c r="H57" s="29"/>
      <c r="I57" s="29"/>
      <c r="J57" s="29"/>
      <c r="K57" s="29"/>
      <c r="L57" s="29"/>
      <c r="M57" s="29"/>
      <c r="N57" s="29"/>
      <c r="O57" s="24"/>
      <c r="R57" s="470" t="s">
        <v>119</v>
      </c>
      <c r="S57" s="375">
        <v>2</v>
      </c>
      <c r="T57" s="77" t="s">
        <v>355</v>
      </c>
      <c r="U57" s="473">
        <v>1.3</v>
      </c>
    </row>
    <row r="58" spans="1:26" x14ac:dyDescent="0.25">
      <c r="A58" s="7"/>
      <c r="B58" s="7" t="b">
        <f>(CONFIG="2")</f>
        <v>1</v>
      </c>
      <c r="C58" s="40" t="str">
        <f>CONFIG</f>
        <v>2</v>
      </c>
      <c r="D58" s="7"/>
      <c r="E58" s="7"/>
      <c r="F58" s="7"/>
      <c r="G58" s="7"/>
      <c r="H58" s="7"/>
      <c r="I58" s="7"/>
      <c r="R58" s="470" t="s">
        <v>346</v>
      </c>
      <c r="S58" s="375">
        <v>3</v>
      </c>
      <c r="T58" s="77" t="s">
        <v>356</v>
      </c>
      <c r="U58" s="473">
        <v>2.5</v>
      </c>
    </row>
    <row r="59" spans="1:26" ht="16.2" thickBot="1" x14ac:dyDescent="0.35">
      <c r="A59" s="51" t="s">
        <v>582</v>
      </c>
      <c r="B59" s="40"/>
      <c r="C59" s="40"/>
      <c r="E59" s="7"/>
      <c r="F59" s="7"/>
      <c r="G59" s="7"/>
      <c r="H59" s="7"/>
      <c r="I59" s="7"/>
      <c r="R59" s="470" t="s">
        <v>347</v>
      </c>
      <c r="S59" s="375">
        <v>4</v>
      </c>
      <c r="T59" s="77" t="s">
        <v>354</v>
      </c>
      <c r="U59" s="473">
        <v>5.0999999999999996</v>
      </c>
    </row>
    <row r="60" spans="1:26" x14ac:dyDescent="0.25">
      <c r="A60" s="110"/>
      <c r="B60" s="616"/>
      <c r="C60" s="617"/>
      <c r="D60" s="159"/>
      <c r="E60" s="80"/>
      <c r="F60" s="31"/>
      <c r="G60" s="31"/>
      <c r="H60" s="31"/>
      <c r="I60" s="32">
        <v>1</v>
      </c>
      <c r="R60" s="470" t="s">
        <v>348</v>
      </c>
      <c r="S60" s="375">
        <v>5</v>
      </c>
      <c r="T60" s="77" t="s">
        <v>357</v>
      </c>
      <c r="U60" s="473">
        <v>8</v>
      </c>
    </row>
    <row r="61" spans="1:26" x14ac:dyDescent="0.25">
      <c r="A61" s="111" t="s">
        <v>150</v>
      </c>
      <c r="B61" s="168">
        <f>Nps*(Vout+Vfwd2)/(VIN_min+Nps*(Vout+Vfwd2))</f>
        <v>0.57081545064377681</v>
      </c>
      <c r="C61" s="7"/>
      <c r="E61" s="78"/>
      <c r="F61" s="7"/>
      <c r="G61" s="7"/>
      <c r="H61" s="7"/>
      <c r="I61" s="25">
        <v>1</v>
      </c>
      <c r="Q61" s="451" t="s">
        <v>349</v>
      </c>
      <c r="R61" s="457" t="str">
        <f>CHOOSE(S61,"0402","0603","0805","1206","1210")</f>
        <v>1210</v>
      </c>
      <c r="S61" s="471">
        <v>5</v>
      </c>
      <c r="T61" s="457" t="str">
        <f>CHOOSE(S61,T56,T57, T58,T59,T60)</f>
        <v>3.2 x 2.5</v>
      </c>
    </row>
    <row r="62" spans="1:26" x14ac:dyDescent="0.25">
      <c r="A62" s="111" t="s">
        <v>158</v>
      </c>
      <c r="B62" s="168">
        <f>Nps*(Vout+Vfwd1)/(VIN_nom+Nps*(Vout+Vfwd1))</f>
        <v>0.35309973045822102</v>
      </c>
      <c r="C62" s="7"/>
      <c r="F62" s="7"/>
      <c r="G62" s="7"/>
      <c r="H62" s="7"/>
      <c r="I62" s="25"/>
    </row>
    <row r="63" spans="1:26" x14ac:dyDescent="0.25">
      <c r="A63" s="111" t="s">
        <v>151</v>
      </c>
      <c r="B63" s="168">
        <f>Nps*(Vout+Vfwd1)/(VIN_max+Nps*(Vout+Vfwd1))</f>
        <v>0.20760697305863707</v>
      </c>
      <c r="C63" s="7"/>
      <c r="E63" s="78"/>
      <c r="F63" s="7"/>
      <c r="G63" s="7"/>
      <c r="H63" s="7"/>
      <c r="I63" s="25"/>
    </row>
    <row r="64" spans="1:26" x14ac:dyDescent="0.25">
      <c r="A64" s="77"/>
      <c r="B64" s="7"/>
      <c r="C64" s="7"/>
      <c r="D64" s="7"/>
      <c r="E64" s="78"/>
      <c r="F64" s="7"/>
      <c r="G64" s="7"/>
      <c r="H64" s="7"/>
      <c r="I64" s="25"/>
      <c r="R64" s="3" t="s">
        <v>660</v>
      </c>
      <c r="S64" s="3"/>
      <c r="T64" s="3" t="s">
        <v>116</v>
      </c>
      <c r="U64" s="3" t="s">
        <v>661</v>
      </c>
      <c r="W64" s="3" t="s">
        <v>660</v>
      </c>
      <c r="X64" s="3"/>
      <c r="Y64" s="3" t="s">
        <v>116</v>
      </c>
      <c r="Z64" s="3" t="s">
        <v>661</v>
      </c>
    </row>
    <row r="65" spans="1:26" x14ac:dyDescent="0.25">
      <c r="A65" s="111"/>
      <c r="B65" s="158"/>
      <c r="C65" s="78"/>
      <c r="D65" s="78"/>
      <c r="F65" s="7"/>
      <c r="G65" s="7"/>
      <c r="H65" s="7"/>
      <c r="I65" s="25"/>
      <c r="R65" s="77" t="s">
        <v>352</v>
      </c>
      <c r="S65" s="375">
        <v>1</v>
      </c>
      <c r="T65" s="487" t="s">
        <v>646</v>
      </c>
      <c r="U65" s="473">
        <v>36</v>
      </c>
      <c r="W65" s="77" t="s">
        <v>667</v>
      </c>
      <c r="X65" s="375">
        <v>1</v>
      </c>
      <c r="Y65" s="77" t="s">
        <v>355</v>
      </c>
      <c r="Z65">
        <v>1.3</v>
      </c>
    </row>
    <row r="66" spans="1:26" x14ac:dyDescent="0.25">
      <c r="A66" s="111"/>
      <c r="B66" s="158"/>
      <c r="C66" s="7"/>
      <c r="D66" s="78"/>
      <c r="F66" s="7"/>
      <c r="G66" s="7"/>
      <c r="H66" s="7"/>
      <c r="I66" s="25"/>
      <c r="R66" s="77" t="s">
        <v>353</v>
      </c>
      <c r="S66" s="375">
        <v>2</v>
      </c>
      <c r="T66" s="487" t="s">
        <v>645</v>
      </c>
      <c r="U66" s="473">
        <v>49</v>
      </c>
      <c r="W66" s="77" t="s">
        <v>657</v>
      </c>
      <c r="X66" s="375">
        <v>2</v>
      </c>
      <c r="Y66" s="77" t="s">
        <v>666</v>
      </c>
      <c r="Z66">
        <v>3.2</v>
      </c>
    </row>
    <row r="67" spans="1:26" x14ac:dyDescent="0.25">
      <c r="A67" s="111"/>
      <c r="B67" s="158"/>
      <c r="C67" s="78"/>
      <c r="D67" s="78"/>
      <c r="F67" s="7"/>
      <c r="G67" s="7"/>
      <c r="H67" s="7"/>
      <c r="I67" s="25"/>
      <c r="R67" s="77" t="s">
        <v>636</v>
      </c>
      <c r="S67" s="375">
        <v>3</v>
      </c>
      <c r="T67" s="487" t="s">
        <v>644</v>
      </c>
      <c r="U67" s="473">
        <v>64</v>
      </c>
      <c r="W67" s="77" t="s">
        <v>658</v>
      </c>
      <c r="X67" s="375">
        <v>3</v>
      </c>
      <c r="Y67" s="77" t="s">
        <v>665</v>
      </c>
      <c r="Z67">
        <v>6.5</v>
      </c>
    </row>
    <row r="68" spans="1:26" x14ac:dyDescent="0.25">
      <c r="A68" s="77"/>
      <c r="C68"/>
      <c r="I68" s="25">
        <v>1</v>
      </c>
      <c r="R68" s="77" t="s">
        <v>637</v>
      </c>
      <c r="S68" s="375">
        <v>4</v>
      </c>
      <c r="T68" s="487" t="s">
        <v>643</v>
      </c>
      <c r="U68" s="473">
        <v>81</v>
      </c>
      <c r="W68" s="77" t="s">
        <v>659</v>
      </c>
      <c r="X68" s="375">
        <v>4</v>
      </c>
      <c r="Y68" s="77" t="s">
        <v>664</v>
      </c>
      <c r="Z68">
        <v>12.5</v>
      </c>
    </row>
    <row r="69" spans="1:26" x14ac:dyDescent="0.25">
      <c r="A69" s="112"/>
      <c r="B69" s="157"/>
      <c r="C69" s="78"/>
      <c r="D69" s="78"/>
      <c r="E69" s="78"/>
      <c r="F69" s="7"/>
      <c r="G69" s="7"/>
      <c r="H69" s="7"/>
      <c r="I69" s="25"/>
      <c r="R69" s="77" t="s">
        <v>638</v>
      </c>
      <c r="S69" s="375">
        <v>5</v>
      </c>
      <c r="T69" s="487" t="s">
        <v>642</v>
      </c>
      <c r="U69" s="473">
        <v>100</v>
      </c>
      <c r="W69" s="451" t="s">
        <v>662</v>
      </c>
    </row>
    <row r="70" spans="1:26" x14ac:dyDescent="0.25">
      <c r="A70" s="112"/>
      <c r="B70" s="157"/>
      <c r="C70" s="7"/>
      <c r="D70" s="78"/>
      <c r="E70" s="78"/>
      <c r="F70" s="7"/>
      <c r="G70" s="7"/>
      <c r="H70" s="7"/>
      <c r="I70" s="25"/>
      <c r="R70" s="77" t="s">
        <v>639</v>
      </c>
      <c r="S70" s="375">
        <v>6</v>
      </c>
      <c r="T70" s="487" t="s">
        <v>641</v>
      </c>
      <c r="U70" s="473">
        <v>120</v>
      </c>
    </row>
    <row r="71" spans="1:26" x14ac:dyDescent="0.25">
      <c r="A71" s="112"/>
      <c r="B71" s="157"/>
      <c r="C71" s="78"/>
      <c r="D71" s="78"/>
      <c r="E71" s="78"/>
      <c r="F71" s="7"/>
      <c r="G71" s="7"/>
      <c r="H71" s="7"/>
      <c r="I71" s="25"/>
      <c r="R71" s="77" t="s">
        <v>640</v>
      </c>
      <c r="S71" s="375">
        <v>7</v>
      </c>
      <c r="T71" s="487" t="s">
        <v>647</v>
      </c>
      <c r="U71" s="473">
        <v>143</v>
      </c>
    </row>
    <row r="72" spans="1:26" ht="15.6" x14ac:dyDescent="0.35">
      <c r="A72" s="77"/>
      <c r="B72" s="7"/>
      <c r="C72" s="78"/>
      <c r="D72" s="7"/>
      <c r="E72" s="78"/>
      <c r="F72" s="7"/>
      <c r="G72" s="7"/>
      <c r="H72" s="7"/>
      <c r="I72" s="25"/>
      <c r="K72" s="77" t="s">
        <v>324</v>
      </c>
      <c r="Q72" s="451" t="s">
        <v>466</v>
      </c>
    </row>
    <row r="73" spans="1:26" x14ac:dyDescent="0.25">
      <c r="A73" s="111" t="s">
        <v>152</v>
      </c>
      <c r="B73" s="42">
        <f>'Design Converter'!L7/1000000</f>
        <v>5.5000000000000002E-5</v>
      </c>
      <c r="C73" s="7" t="s">
        <v>11</v>
      </c>
      <c r="D73" s="78" t="s">
        <v>465</v>
      </c>
      <c r="F73" s="7"/>
      <c r="G73" s="7"/>
      <c r="H73" s="7"/>
      <c r="I73" s="25"/>
    </row>
    <row r="74" spans="1:26" x14ac:dyDescent="0.25">
      <c r="A74" s="111" t="s">
        <v>693</v>
      </c>
      <c r="B74" s="134">
        <f>'Design Converter'!L11</f>
        <v>2000</v>
      </c>
      <c r="C74" s="7" t="s">
        <v>694</v>
      </c>
      <c r="D74" s="78"/>
      <c r="F74" s="7"/>
      <c r="G74" s="7"/>
      <c r="H74" s="7"/>
      <c r="I74" s="25"/>
    </row>
    <row r="75" spans="1:26" x14ac:dyDescent="0.25">
      <c r="A75" s="111" t="s">
        <v>398</v>
      </c>
      <c r="B75" s="10">
        <f>'Design Converter'!L8/1000</f>
        <v>0.11</v>
      </c>
      <c r="C75" s="114" t="s">
        <v>45</v>
      </c>
      <c r="D75" s="78" t="s">
        <v>463</v>
      </c>
      <c r="F75" s="7"/>
      <c r="G75" s="7"/>
      <c r="H75" s="7"/>
      <c r="I75" s="25"/>
    </row>
    <row r="76" spans="1:26" x14ac:dyDescent="0.25">
      <c r="A76" s="111" t="s">
        <v>461</v>
      </c>
      <c r="B76" s="10">
        <f>'Design Converter'!L9/1000</f>
        <v>3.5000000000000003E-2</v>
      </c>
      <c r="C76" s="114" t="s">
        <v>45</v>
      </c>
      <c r="D76" s="78" t="s">
        <v>464</v>
      </c>
      <c r="F76" s="7"/>
      <c r="G76" s="7"/>
      <c r="H76" s="7"/>
      <c r="I76" s="25">
        <v>2</v>
      </c>
    </row>
    <row r="77" spans="1:26" x14ac:dyDescent="0.25">
      <c r="A77" s="111" t="s">
        <v>462</v>
      </c>
      <c r="B77" s="10">
        <f>'Design Converter'!L10/1000</f>
        <v>0.03</v>
      </c>
      <c r="C77" s="114" t="s">
        <v>45</v>
      </c>
      <c r="D77" s="78" t="s">
        <v>564</v>
      </c>
      <c r="E77" s="78"/>
      <c r="F77" s="7"/>
      <c r="G77" s="7"/>
      <c r="H77" s="7"/>
      <c r="I77" s="25">
        <v>1</v>
      </c>
    </row>
    <row r="78" spans="1:26" x14ac:dyDescent="0.25">
      <c r="A78" s="111"/>
      <c r="B78" s="7"/>
      <c r="C78" s="7"/>
      <c r="D78" s="7"/>
      <c r="E78" s="7"/>
      <c r="F78" s="7"/>
      <c r="G78" s="7"/>
      <c r="H78" s="7"/>
      <c r="I78" s="25"/>
    </row>
    <row r="79" spans="1:26" ht="15.75" customHeight="1" x14ac:dyDescent="0.25">
      <c r="A79" s="78" t="s">
        <v>563</v>
      </c>
      <c r="B79" s="198">
        <v>100</v>
      </c>
      <c r="C79" s="112" t="s">
        <v>102</v>
      </c>
      <c r="D79" s="78"/>
      <c r="E79" s="7"/>
      <c r="F79" s="7"/>
      <c r="H79" s="7"/>
      <c r="I79" s="25"/>
    </row>
    <row r="80" spans="1:26" x14ac:dyDescent="0.25">
      <c r="A80" s="111" t="s">
        <v>560</v>
      </c>
      <c r="B80" s="190">
        <f>Rdcr_pri*(1+0.0039*(B79-25))</f>
        <v>0.142175</v>
      </c>
      <c r="C80" s="114" t="s">
        <v>45</v>
      </c>
      <c r="D80" s="7"/>
      <c r="H80" s="7"/>
      <c r="I80" s="25"/>
    </row>
    <row r="81" spans="1:12" x14ac:dyDescent="0.25">
      <c r="A81" s="111" t="s">
        <v>561</v>
      </c>
      <c r="B81" s="190">
        <f>Rdcr_sec*(1+0.0039*(B79-25))</f>
        <v>4.5237500000000007E-2</v>
      </c>
      <c r="C81" s="114" t="s">
        <v>45</v>
      </c>
      <c r="D81" s="7"/>
      <c r="H81" s="7"/>
      <c r="I81" s="25"/>
    </row>
    <row r="82" spans="1:12" x14ac:dyDescent="0.25">
      <c r="A82" s="111" t="s">
        <v>562</v>
      </c>
      <c r="B82" s="190">
        <f>Rdcr_sec2*(1+0.0039*(B79-25))</f>
        <v>3.8774999999999997E-2</v>
      </c>
      <c r="C82" s="114" t="s">
        <v>45</v>
      </c>
      <c r="D82" s="7"/>
      <c r="H82" s="7"/>
      <c r="I82" s="25"/>
    </row>
    <row r="83" spans="1:12" x14ac:dyDescent="0.25">
      <c r="I83" s="25"/>
    </row>
    <row r="84" spans="1:12" x14ac:dyDescent="0.25">
      <c r="A84" t="s">
        <v>692</v>
      </c>
      <c r="B84" s="655">
        <f>(Vout+Vfwd1)*Nps*0.0000005/Isw_min*1000000</f>
        <v>22.586206896551722</v>
      </c>
      <c r="C84" s="3" t="s">
        <v>11</v>
      </c>
      <c r="I84" s="25"/>
    </row>
    <row r="85" spans="1:12" ht="13.8" thickBot="1" x14ac:dyDescent="0.3">
      <c r="A85" s="172"/>
      <c r="B85" s="173"/>
      <c r="C85" s="29"/>
      <c r="D85" s="29"/>
      <c r="E85" s="29"/>
      <c r="F85" s="29"/>
      <c r="G85" s="29"/>
      <c r="H85" s="29"/>
      <c r="I85" s="30"/>
    </row>
    <row r="86" spans="1:12" x14ac:dyDescent="0.25">
      <c r="A86" s="40"/>
      <c r="B86" s="39"/>
      <c r="C86" s="39"/>
      <c r="D86" s="7"/>
      <c r="E86" s="7"/>
      <c r="F86" s="7"/>
      <c r="G86" s="7"/>
      <c r="H86" s="7"/>
      <c r="I86" s="7"/>
    </row>
    <row r="88" spans="1:12" ht="16.2" thickBot="1" x14ac:dyDescent="0.35">
      <c r="A88" s="51" t="s">
        <v>583</v>
      </c>
      <c r="B88" s="7"/>
      <c r="D88" s="40"/>
      <c r="E88" s="7"/>
      <c r="F88" s="7"/>
      <c r="G88" s="7"/>
      <c r="H88" s="7"/>
      <c r="I88" s="7"/>
    </row>
    <row r="89" spans="1:12" x14ac:dyDescent="0.25">
      <c r="A89" s="110" t="s">
        <v>165</v>
      </c>
      <c r="B89" s="427"/>
      <c r="C89" s="171" t="s">
        <v>1</v>
      </c>
      <c r="D89" s="80" t="s">
        <v>164</v>
      </c>
      <c r="E89" s="31"/>
      <c r="F89" s="31"/>
      <c r="G89" s="31"/>
      <c r="H89" s="31"/>
      <c r="I89" s="32"/>
      <c r="L89" s="5"/>
    </row>
    <row r="90" spans="1:12" x14ac:dyDescent="0.25">
      <c r="A90" s="111" t="s">
        <v>166</v>
      </c>
      <c r="B90" s="428"/>
      <c r="C90" s="112" t="s">
        <v>1</v>
      </c>
      <c r="D90" s="7"/>
      <c r="E90" s="78"/>
      <c r="F90" s="7"/>
      <c r="G90" s="7"/>
      <c r="H90" s="7"/>
      <c r="I90" s="25"/>
      <c r="L90" s="5"/>
    </row>
    <row r="91" spans="1:12" x14ac:dyDescent="0.25">
      <c r="A91" s="111" t="s">
        <v>167</v>
      </c>
      <c r="B91" s="428"/>
      <c r="C91" s="112" t="s">
        <v>1</v>
      </c>
      <c r="D91" s="7"/>
      <c r="E91" s="78"/>
      <c r="F91" s="7"/>
      <c r="G91" s="7"/>
      <c r="H91" s="7"/>
      <c r="I91" s="25"/>
      <c r="L91" s="5"/>
    </row>
    <row r="92" spans="1:12" x14ac:dyDescent="0.25">
      <c r="A92" s="111"/>
      <c r="B92" s="174"/>
      <c r="C92" s="112"/>
      <c r="D92" s="7"/>
      <c r="E92" s="78"/>
      <c r="F92" s="7"/>
      <c r="G92" s="7"/>
      <c r="H92" s="7"/>
      <c r="I92" s="25"/>
      <c r="L92" s="5"/>
    </row>
    <row r="93" spans="1:12" x14ac:dyDescent="0.25">
      <c r="A93" s="111" t="s">
        <v>175</v>
      </c>
      <c r="B93" s="569">
        <f>Vout_ripple</f>
        <v>63</v>
      </c>
      <c r="C93" s="112" t="s">
        <v>149</v>
      </c>
      <c r="D93" s="78" t="s">
        <v>619</v>
      </c>
      <c r="F93" s="7"/>
      <c r="G93" s="7"/>
      <c r="H93" s="7"/>
      <c r="I93" s="25"/>
      <c r="L93" s="5"/>
    </row>
    <row r="94" spans="1:12" x14ac:dyDescent="0.25">
      <c r="A94" s="512" t="s">
        <v>12</v>
      </c>
      <c r="B94" s="199">
        <f>MAX(4.7, CHOOSE(MODE, 'Calculations - Single'!BA105, 'Calculations - Dual'!AW105))</f>
        <v>4.7</v>
      </c>
      <c r="C94" s="208" t="s">
        <v>97</v>
      </c>
      <c r="D94" s="78" t="s">
        <v>618</v>
      </c>
      <c r="E94" s="78"/>
      <c r="F94" s="7"/>
      <c r="G94" s="7"/>
      <c r="H94" s="7"/>
      <c r="I94" s="25"/>
    </row>
    <row r="95" spans="1:12" x14ac:dyDescent="0.25">
      <c r="A95" s="111" t="s">
        <v>14</v>
      </c>
      <c r="B95" s="613">
        <f>'Design Converter'!E21</f>
        <v>88</v>
      </c>
      <c r="C95" s="208" t="s">
        <v>97</v>
      </c>
      <c r="D95" s="78" t="s">
        <v>168</v>
      </c>
      <c r="F95" s="7"/>
      <c r="G95" s="7"/>
      <c r="H95" s="7"/>
      <c r="I95" s="25"/>
    </row>
    <row r="96" spans="1:12" x14ac:dyDescent="0.25">
      <c r="A96" s="207" t="s">
        <v>182</v>
      </c>
      <c r="B96" s="570">
        <f>(Vripple1_spec-Iout*B98/Cout*1000)/Iout</f>
        <v>588.80639014199937</v>
      </c>
      <c r="C96" s="114" t="s">
        <v>259</v>
      </c>
      <c r="D96" s="78" t="s">
        <v>107</v>
      </c>
      <c r="F96" s="7"/>
      <c r="G96" s="7"/>
      <c r="H96" s="7"/>
      <c r="I96" s="25"/>
    </row>
    <row r="97" spans="1:9" x14ac:dyDescent="0.25">
      <c r="A97" s="111" t="s">
        <v>54</v>
      </c>
      <c r="B97" s="200">
        <f>'Design Converter'!E22</f>
        <v>3</v>
      </c>
      <c r="C97" s="114" t="s">
        <v>259</v>
      </c>
      <c r="D97" s="78" t="s">
        <v>108</v>
      </c>
      <c r="F97" s="7"/>
      <c r="G97" s="7"/>
      <c r="H97" s="7"/>
      <c r="I97" s="25"/>
    </row>
    <row r="98" spans="1:9" x14ac:dyDescent="0.25">
      <c r="A98" s="111" t="s">
        <v>451</v>
      </c>
      <c r="B98" s="199">
        <f>CHOOSE(MODE, 'Calculations - Single'!AT105, 'Calculations - Dual'!AR105)</f>
        <v>3.6250376675040523</v>
      </c>
      <c r="C98" s="208" t="s">
        <v>248</v>
      </c>
      <c r="D98" s="78"/>
      <c r="F98" s="7"/>
      <c r="G98" s="7"/>
      <c r="H98" s="7"/>
      <c r="I98" s="25"/>
    </row>
    <row r="99" spans="1:9" x14ac:dyDescent="0.25">
      <c r="A99" s="34" t="s">
        <v>450</v>
      </c>
      <c r="B99" s="610">
        <f>Iout*B98/Cout*1000+Iout*CoutEsr</f>
        <v>4.4193609858000595</v>
      </c>
      <c r="C99" s="78" t="s">
        <v>456</v>
      </c>
      <c r="D99" s="78" t="s">
        <v>621</v>
      </c>
      <c r="F99" s="7"/>
      <c r="G99" s="7"/>
      <c r="H99" s="457" t="s">
        <v>586</v>
      </c>
      <c r="I99" s="25"/>
    </row>
    <row r="100" spans="1:9" x14ac:dyDescent="0.25">
      <c r="A100" s="34"/>
      <c r="B100" s="199"/>
      <c r="C100" s="78"/>
      <c r="D100" s="78"/>
      <c r="F100" s="7"/>
      <c r="G100" s="7"/>
      <c r="H100" s="7"/>
      <c r="I100" s="25"/>
    </row>
    <row r="101" spans="1:9" x14ac:dyDescent="0.25">
      <c r="A101" s="34"/>
      <c r="B101" s="199"/>
      <c r="C101" s="78"/>
      <c r="D101" s="78"/>
      <c r="F101" s="7"/>
      <c r="G101" s="7"/>
      <c r="H101" s="7"/>
      <c r="I101" s="25"/>
    </row>
    <row r="102" spans="1:9" x14ac:dyDescent="0.25">
      <c r="A102" s="618" t="s">
        <v>584</v>
      </c>
      <c r="B102" s="199"/>
      <c r="C102" s="208"/>
      <c r="D102" s="78"/>
      <c r="F102" s="7"/>
      <c r="G102" s="7"/>
      <c r="H102" s="7"/>
      <c r="I102" s="25"/>
    </row>
    <row r="103" spans="1:9" x14ac:dyDescent="0.25">
      <c r="A103" s="111" t="s">
        <v>565</v>
      </c>
      <c r="B103" s="569">
        <f>Vout_ripple2</f>
        <v>150</v>
      </c>
      <c r="C103" s="112" t="s">
        <v>149</v>
      </c>
      <c r="D103" s="78" t="s">
        <v>622</v>
      </c>
      <c r="F103" s="7"/>
      <c r="G103" s="7"/>
      <c r="H103" s="7"/>
      <c r="I103" s="25"/>
    </row>
    <row r="104" spans="1:9" x14ac:dyDescent="0.25">
      <c r="A104" s="512" t="s">
        <v>567</v>
      </c>
      <c r="B104" s="199">
        <f>MAX(4.7, 'Calculations - Dual'!AX105)</f>
        <v>4.7</v>
      </c>
      <c r="C104" s="208" t="s">
        <v>97</v>
      </c>
      <c r="D104" s="78" t="s">
        <v>618</v>
      </c>
      <c r="F104" s="7"/>
      <c r="G104" s="7"/>
      <c r="H104" s="7"/>
      <c r="I104" s="25"/>
    </row>
    <row r="105" spans="1:9" x14ac:dyDescent="0.25">
      <c r="A105" s="111" t="s">
        <v>566</v>
      </c>
      <c r="B105" s="613">
        <f>'Design Converter'!L21</f>
        <v>44</v>
      </c>
      <c r="C105" s="208" t="s">
        <v>97</v>
      </c>
      <c r="D105" s="78" t="s">
        <v>168</v>
      </c>
      <c r="F105" s="7"/>
      <c r="G105" s="7"/>
      <c r="H105" s="7"/>
      <c r="I105" s="25"/>
    </row>
    <row r="106" spans="1:9" x14ac:dyDescent="0.25">
      <c r="A106" s="207" t="s">
        <v>568</v>
      </c>
      <c r="B106" s="570">
        <f>(Vout_ripple2-Iout2*B108/Cout2*1000)/Iout2</f>
        <v>1417.6127802839987</v>
      </c>
      <c r="C106" s="114" t="s">
        <v>259</v>
      </c>
      <c r="D106" s="78" t="s">
        <v>107</v>
      </c>
      <c r="F106" s="7"/>
      <c r="G106" s="7"/>
      <c r="H106" s="457" t="s">
        <v>585</v>
      </c>
      <c r="I106" s="25"/>
    </row>
    <row r="107" spans="1:9" x14ac:dyDescent="0.25">
      <c r="A107" s="111" t="s">
        <v>569</v>
      </c>
      <c r="B107" s="200">
        <f>'Design Converter'!L22</f>
        <v>3</v>
      </c>
      <c r="C107" s="114" t="s">
        <v>259</v>
      </c>
      <c r="D107" s="78" t="s">
        <v>108</v>
      </c>
      <c r="F107" s="7"/>
      <c r="G107" s="7"/>
      <c r="I107" s="25"/>
    </row>
    <row r="108" spans="1:9" x14ac:dyDescent="0.25">
      <c r="A108" s="111" t="s">
        <v>451</v>
      </c>
      <c r="B108" s="199">
        <f>'Calculations - Dual'!AR105</f>
        <v>3.6250376675040523</v>
      </c>
      <c r="C108" s="208" t="s">
        <v>248</v>
      </c>
      <c r="D108" s="78"/>
      <c r="F108" s="7"/>
      <c r="G108" s="7"/>
      <c r="H108" s="457" t="s">
        <v>585</v>
      </c>
      <c r="I108" s="25"/>
    </row>
    <row r="109" spans="1:9" x14ac:dyDescent="0.25">
      <c r="A109" s="34" t="s">
        <v>450</v>
      </c>
      <c r="B109" s="610">
        <f>Iout2*B108/Cout2*1000+Iout2*CoutEsr2</f>
        <v>8.5387219716001201</v>
      </c>
      <c r="C109" s="78" t="s">
        <v>456</v>
      </c>
      <c r="D109" s="78" t="s">
        <v>620</v>
      </c>
      <c r="F109" s="7"/>
      <c r="G109" s="7"/>
      <c r="H109" s="7"/>
      <c r="I109" s="25"/>
    </row>
    <row r="110" spans="1:9" x14ac:dyDescent="0.25">
      <c r="A110" s="40"/>
      <c r="B110" s="199"/>
      <c r="C110" s="78"/>
      <c r="D110" s="78"/>
      <c r="F110" s="7"/>
      <c r="G110" s="7"/>
      <c r="H110" s="7"/>
      <c r="I110" s="25"/>
    </row>
    <row r="111" spans="1:9" ht="13.8" thickBot="1" x14ac:dyDescent="0.3">
      <c r="A111" s="29"/>
      <c r="B111" s="29"/>
      <c r="C111" s="29"/>
      <c r="D111" s="29"/>
      <c r="E111" s="29"/>
      <c r="F111" s="29"/>
      <c r="G111" s="29"/>
      <c r="H111" s="29"/>
      <c r="I111" s="30"/>
    </row>
    <row r="113" spans="1:9" ht="13.8" thickBot="1" x14ac:dyDescent="0.3">
      <c r="A113" s="7"/>
      <c r="B113" s="7"/>
      <c r="C113" s="40"/>
      <c r="D113" s="7"/>
      <c r="E113" s="7"/>
      <c r="F113" s="7"/>
      <c r="G113" s="7"/>
      <c r="H113" s="7"/>
      <c r="I113" s="7"/>
    </row>
    <row r="114" spans="1:9" ht="15.6" x14ac:dyDescent="0.3">
      <c r="A114" s="62" t="s">
        <v>55</v>
      </c>
      <c r="B114" s="63"/>
      <c r="C114" s="175"/>
      <c r="D114" s="63"/>
      <c r="E114" s="63"/>
      <c r="F114" s="63"/>
      <c r="G114" s="63"/>
      <c r="H114" s="63"/>
      <c r="I114" s="64"/>
    </row>
    <row r="115" spans="1:9" x14ac:dyDescent="0.25">
      <c r="A115" s="572" t="s">
        <v>524</v>
      </c>
      <c r="B115" s="575">
        <f>0.05*VIN_nom</f>
        <v>1.2000000000000002</v>
      </c>
      <c r="C115" s="112" t="s">
        <v>457</v>
      </c>
      <c r="D115" s="77" t="s">
        <v>452</v>
      </c>
      <c r="E115" s="7"/>
      <c r="F115" s="7"/>
      <c r="G115" s="7"/>
      <c r="H115" s="7"/>
      <c r="I115" s="66"/>
    </row>
    <row r="116" spans="1:9" x14ac:dyDescent="0.25">
      <c r="A116" s="65"/>
      <c r="B116" s="12"/>
      <c r="C116" s="61"/>
      <c r="E116" s="7"/>
      <c r="F116" s="7"/>
      <c r="G116" s="7"/>
      <c r="H116" s="7"/>
      <c r="I116" s="66"/>
    </row>
    <row r="117" spans="1:9" x14ac:dyDescent="0.25">
      <c r="A117" s="67" t="s">
        <v>58</v>
      </c>
      <c r="B117" s="429"/>
      <c r="C117" s="208" t="s">
        <v>30</v>
      </c>
      <c r="E117" s="7"/>
      <c r="F117" s="7"/>
      <c r="G117" s="7"/>
      <c r="H117" s="7"/>
      <c r="I117" s="66"/>
    </row>
    <row r="118" spans="1:9" x14ac:dyDescent="0.25">
      <c r="A118" s="67" t="s">
        <v>98</v>
      </c>
      <c r="B118" s="192">
        <f>'Calculations - Single'!BB105</f>
        <v>6.9667808612524751E-2</v>
      </c>
      <c r="C118" s="208" t="s">
        <v>97</v>
      </c>
      <c r="E118" s="7"/>
      <c r="F118" s="7"/>
      <c r="G118" s="7"/>
      <c r="H118" s="7"/>
      <c r="I118" s="66"/>
    </row>
    <row r="119" spans="1:9" x14ac:dyDescent="0.25">
      <c r="A119" s="207" t="s">
        <v>181</v>
      </c>
      <c r="B119" s="620">
        <f>MAX(2.2,Cinmin)</f>
        <v>2.2000000000000002</v>
      </c>
      <c r="C119" s="208" t="s">
        <v>97</v>
      </c>
      <c r="E119" s="7"/>
      <c r="F119" s="7"/>
      <c r="G119" s="7"/>
      <c r="H119" s="7"/>
      <c r="I119" s="66"/>
    </row>
    <row r="120" spans="1:9" x14ac:dyDescent="0.25">
      <c r="A120" s="67" t="s">
        <v>28</v>
      </c>
      <c r="B120" s="573">
        <f>'Design Converter'!E17</f>
        <v>2.2000000000000002</v>
      </c>
      <c r="C120" s="208" t="s">
        <v>97</v>
      </c>
      <c r="D120" s="7" t="s">
        <v>60</v>
      </c>
      <c r="F120" s="7"/>
      <c r="G120" s="7"/>
      <c r="H120" s="7"/>
      <c r="I120" s="66"/>
    </row>
    <row r="121" spans="1:9" x14ac:dyDescent="0.25">
      <c r="A121" s="67"/>
      <c r="B121" s="571"/>
      <c r="C121" s="59"/>
      <c r="D121" s="7"/>
      <c r="F121" s="7"/>
      <c r="G121" s="7"/>
      <c r="H121" s="7"/>
      <c r="I121" s="66"/>
    </row>
    <row r="122" spans="1:9" x14ac:dyDescent="0.25">
      <c r="A122" s="68" t="s">
        <v>99</v>
      </c>
      <c r="B122" s="428">
        <f>(Vinripple1-B125*B127/Cin)/B126</f>
        <v>2.0927762189827241</v>
      </c>
      <c r="C122" s="114" t="s">
        <v>45</v>
      </c>
      <c r="D122" s="7"/>
      <c r="F122" s="7"/>
      <c r="G122" s="7"/>
      <c r="H122" s="7"/>
      <c r="I122" s="66"/>
    </row>
    <row r="123" spans="1:9" x14ac:dyDescent="0.25">
      <c r="A123" s="67" t="s">
        <v>37</v>
      </c>
      <c r="B123" s="60">
        <f>'Design Converter'!E18/1000</f>
        <v>5.0000000000000001E-3</v>
      </c>
      <c r="C123" s="114" t="s">
        <v>45</v>
      </c>
      <c r="D123" s="78" t="s">
        <v>109</v>
      </c>
      <c r="F123" s="7"/>
      <c r="G123" s="7"/>
      <c r="H123" s="7"/>
      <c r="I123" s="66"/>
    </row>
    <row r="124" spans="1:9" ht="13.8" x14ac:dyDescent="0.3">
      <c r="A124" s="207" t="s">
        <v>183</v>
      </c>
      <c r="B124" s="376">
        <f>'Design Converter'!E18</f>
        <v>5</v>
      </c>
      <c r="C124" s="17" t="s">
        <v>162</v>
      </c>
      <c r="D124" s="78"/>
      <c r="F124" s="7"/>
      <c r="G124" s="7"/>
      <c r="H124" s="7"/>
      <c r="I124" s="66"/>
    </row>
    <row r="125" spans="1:9" x14ac:dyDescent="0.25">
      <c r="A125" s="207" t="s">
        <v>454</v>
      </c>
      <c r="B125" s="434">
        <f>Vout*Iout/VIN_nom/Efficiency</f>
        <v>2.9166666666666664E-2</v>
      </c>
      <c r="C125" s="78" t="s">
        <v>1</v>
      </c>
      <c r="D125" s="78"/>
      <c r="F125" s="7"/>
      <c r="G125" s="7"/>
      <c r="H125" s="7"/>
      <c r="I125" s="66"/>
    </row>
    <row r="126" spans="1:9" x14ac:dyDescent="0.25">
      <c r="A126" s="207" t="s">
        <v>458</v>
      </c>
      <c r="B126" s="434">
        <f>CHOOSE(MODE, 'Calculations - Single'!AJ105, 'Calculations - Dual'!$AI$105)</f>
        <v>0.55854537743850718</v>
      </c>
      <c r="C126" s="78" t="s">
        <v>1</v>
      </c>
      <c r="D126" s="78"/>
      <c r="F126" s="7"/>
      <c r="G126" s="7"/>
      <c r="H126" s="7"/>
      <c r="I126" s="66"/>
    </row>
    <row r="127" spans="1:9" x14ac:dyDescent="0.25">
      <c r="A127" s="207" t="s">
        <v>455</v>
      </c>
      <c r="B127" s="434">
        <f>CHOOSE(MODE, 'Calculations - Single'!AU105, 'Calculations - Dual'!$AT$105)</f>
        <v>2.3450378442074733</v>
      </c>
      <c r="C127" s="208" t="s">
        <v>248</v>
      </c>
      <c r="D127" s="78"/>
      <c r="F127" s="7"/>
      <c r="G127" s="7"/>
      <c r="H127" s="7"/>
      <c r="I127" s="66"/>
    </row>
    <row r="128" spans="1:9" x14ac:dyDescent="0.25">
      <c r="A128" s="207" t="s">
        <v>453</v>
      </c>
      <c r="B128" s="192">
        <f>B125*B127/Cin+B126*RCinEsr</f>
        <v>3.3882243761155242E-2</v>
      </c>
      <c r="C128" s="208" t="s">
        <v>457</v>
      </c>
      <c r="D128" s="77" t="s">
        <v>459</v>
      </c>
      <c r="E128" s="574"/>
      <c r="F128" s="208"/>
      <c r="G128" s="7"/>
      <c r="H128" s="7"/>
      <c r="I128" s="66"/>
    </row>
    <row r="129" spans="1:9" ht="13.8" thickBot="1" x14ac:dyDescent="0.3">
      <c r="A129" s="69"/>
      <c r="B129" s="70"/>
      <c r="C129" s="70"/>
      <c r="D129" s="70"/>
      <c r="E129" s="71"/>
      <c r="F129" s="71"/>
      <c r="G129" s="71"/>
      <c r="H129" s="71"/>
      <c r="I129" s="72"/>
    </row>
    <row r="130" spans="1:9" x14ac:dyDescent="0.25">
      <c r="A130" s="7"/>
      <c r="B130" s="7"/>
      <c r="C130" s="40"/>
      <c r="D130" s="7"/>
      <c r="E130" s="7"/>
      <c r="F130" s="7"/>
      <c r="G130" s="7"/>
      <c r="H130" s="7"/>
      <c r="I130" s="7"/>
    </row>
    <row r="131" spans="1:9" ht="16.2" thickBot="1" x14ac:dyDescent="0.35">
      <c r="A131" s="51" t="s">
        <v>62</v>
      </c>
      <c r="B131" s="7"/>
      <c r="C131" s="40"/>
      <c r="D131" s="7"/>
      <c r="E131" s="7"/>
      <c r="F131" s="7"/>
      <c r="G131" s="7"/>
      <c r="H131" s="7"/>
      <c r="I131" s="7"/>
    </row>
    <row r="132" spans="1:9" x14ac:dyDescent="0.25">
      <c r="A132" s="53" t="s">
        <v>64</v>
      </c>
      <c r="B132" s="9">
        <f>'Design Converter'!E29/1000</f>
        <v>5.0000000000000001E-3</v>
      </c>
      <c r="C132" s="31" t="s">
        <v>51</v>
      </c>
      <c r="D132" s="80" t="s">
        <v>177</v>
      </c>
      <c r="E132" s="31"/>
      <c r="F132" s="31"/>
      <c r="G132" s="31"/>
      <c r="H132" s="31"/>
      <c r="I132" s="32"/>
    </row>
    <row r="133" spans="1:9" x14ac:dyDescent="0.25">
      <c r="A133" s="24" t="s">
        <v>65</v>
      </c>
      <c r="B133" s="202">
        <v>1.0000000000000001E-5</v>
      </c>
      <c r="C133" s="7" t="s">
        <v>1</v>
      </c>
      <c r="D133" s="78" t="s">
        <v>310</v>
      </c>
      <c r="E133" s="7"/>
      <c r="F133" s="7"/>
      <c r="G133" s="7"/>
      <c r="H133" s="7"/>
      <c r="I133" s="25"/>
    </row>
    <row r="134" spans="1:9" x14ac:dyDescent="0.25">
      <c r="A134" s="24" t="s">
        <v>66</v>
      </c>
      <c r="B134" s="202">
        <f>0.000005*Tss/1.2</f>
        <v>2.0833333333333335E-8</v>
      </c>
      <c r="C134" s="7" t="s">
        <v>13</v>
      </c>
      <c r="D134" s="78" t="s">
        <v>312</v>
      </c>
      <c r="E134" s="7"/>
      <c r="F134" s="7"/>
      <c r="G134" s="7"/>
      <c r="H134" s="7"/>
      <c r="I134" s="25"/>
    </row>
    <row r="135" spans="1:9" ht="13.8" thickBot="1" x14ac:dyDescent="0.3">
      <c r="A135" s="28" t="s">
        <v>72</v>
      </c>
      <c r="B135" s="203">
        <f>'Standard Value Calculator'!B4</f>
        <v>2.1999999999999998E-8</v>
      </c>
      <c r="C135" s="29" t="s">
        <v>13</v>
      </c>
      <c r="D135" s="81" t="s">
        <v>313</v>
      </c>
      <c r="E135" s="29"/>
      <c r="F135" s="29"/>
      <c r="G135" s="29"/>
      <c r="H135" s="29"/>
      <c r="I135" s="30"/>
    </row>
    <row r="137" spans="1:9" ht="16.2" thickBot="1" x14ac:dyDescent="0.35">
      <c r="A137" s="51" t="s">
        <v>580</v>
      </c>
      <c r="B137" s="7"/>
      <c r="C137" s="40"/>
      <c r="D137" s="7"/>
      <c r="E137" s="7"/>
      <c r="F137" s="7"/>
      <c r="G137" s="7"/>
      <c r="H137" s="7"/>
      <c r="I137" s="7"/>
    </row>
    <row r="138" spans="1:9" ht="12.75" customHeight="1" x14ac:dyDescent="0.25">
      <c r="A138" s="110"/>
      <c r="B138" s="54"/>
      <c r="C138" s="162"/>
      <c r="D138" s="80"/>
      <c r="E138" s="31"/>
      <c r="F138" s="31"/>
      <c r="G138" s="31"/>
      <c r="H138" s="31"/>
      <c r="I138" s="32"/>
    </row>
    <row r="139" spans="1:9" ht="12.75" customHeight="1" x14ac:dyDescent="0.25">
      <c r="A139" s="111" t="s">
        <v>111</v>
      </c>
      <c r="B139" s="193">
        <v>1.5</v>
      </c>
      <c r="C139" s="78" t="s">
        <v>0</v>
      </c>
      <c r="D139" s="78"/>
      <c r="E139" s="7"/>
      <c r="F139" s="7"/>
      <c r="G139" s="7"/>
      <c r="H139" s="7"/>
      <c r="I139" s="25"/>
    </row>
    <row r="140" spans="1:9" ht="12.75" customHeight="1" x14ac:dyDescent="0.25">
      <c r="A140" s="111" t="s">
        <v>112</v>
      </c>
      <c r="B140" s="193">
        <v>1.45</v>
      </c>
      <c r="C140" s="78" t="s">
        <v>0</v>
      </c>
      <c r="D140" s="78"/>
      <c r="E140" s="7"/>
      <c r="F140" s="7"/>
      <c r="G140" s="7"/>
      <c r="H140" s="7"/>
      <c r="I140" s="25"/>
    </row>
    <row r="141" spans="1:9" ht="12.75" customHeight="1" x14ac:dyDescent="0.25">
      <c r="A141" s="111" t="s">
        <v>148</v>
      </c>
      <c r="B141" s="37">
        <f>B139-B140</f>
        <v>5.0000000000000044E-2</v>
      </c>
      <c r="C141" s="78" t="s">
        <v>0</v>
      </c>
      <c r="D141" s="78"/>
      <c r="E141" s="7"/>
      <c r="F141" s="7"/>
      <c r="G141" s="7"/>
      <c r="H141" s="7"/>
      <c r="I141" s="25"/>
    </row>
    <row r="142" spans="1:9" ht="12.75" customHeight="1" x14ac:dyDescent="0.25">
      <c r="A142" s="111" t="s">
        <v>383</v>
      </c>
      <c r="B142" s="7">
        <v>0</v>
      </c>
      <c r="C142" s="112" t="s">
        <v>1</v>
      </c>
      <c r="D142" s="78"/>
      <c r="E142" s="7"/>
      <c r="F142" s="7"/>
      <c r="G142" s="7"/>
      <c r="H142" s="7"/>
      <c r="I142" s="25"/>
    </row>
    <row r="143" spans="1:9" ht="12.75" customHeight="1" x14ac:dyDescent="0.25">
      <c r="A143" s="111" t="s">
        <v>382</v>
      </c>
      <c r="B143" s="538">
        <v>5.0000000000000001E-3</v>
      </c>
      <c r="C143" s="112" t="s">
        <v>30</v>
      </c>
      <c r="D143" s="78"/>
      <c r="E143" s="7"/>
      <c r="F143" s="7"/>
      <c r="G143" s="7"/>
      <c r="H143" s="7"/>
      <c r="I143" s="25"/>
    </row>
    <row r="144" spans="1:9" ht="12.75" customHeight="1" x14ac:dyDescent="0.25">
      <c r="A144" s="111" t="s">
        <v>381</v>
      </c>
      <c r="B144" s="539">
        <f>Iuvlo2-Iuvlo1</f>
        <v>5.0000000000000001E-3</v>
      </c>
      <c r="C144" s="112" t="s">
        <v>30</v>
      </c>
      <c r="D144" s="78"/>
      <c r="F144" s="7"/>
      <c r="G144" s="7"/>
      <c r="H144" s="7"/>
      <c r="I144" s="25"/>
    </row>
    <row r="145" spans="1:9" ht="12.75" customHeight="1" x14ac:dyDescent="0.25">
      <c r="A145" s="111"/>
      <c r="B145" s="37"/>
      <c r="C145" s="385"/>
      <c r="D145" s="78"/>
      <c r="E145" s="7"/>
      <c r="F145" s="7"/>
      <c r="G145" s="7"/>
      <c r="H145" s="7"/>
      <c r="I145" s="25"/>
    </row>
    <row r="146" spans="1:9" ht="12.75" customHeight="1" x14ac:dyDescent="0.35">
      <c r="A146" s="111" t="s">
        <v>110</v>
      </c>
      <c r="B146" s="191">
        <f>'Design Converter'!E35</f>
        <v>9.5</v>
      </c>
      <c r="C146" s="112" t="s">
        <v>0</v>
      </c>
      <c r="E146" s="7"/>
      <c r="F146" s="7"/>
      <c r="G146" s="7"/>
      <c r="H146" s="7"/>
      <c r="I146" s="25"/>
    </row>
    <row r="147" spans="1:9" ht="12.75" customHeight="1" x14ac:dyDescent="0.35">
      <c r="A147" s="111" t="s">
        <v>296</v>
      </c>
      <c r="B147" s="191">
        <f>'Design Converter'!E36</f>
        <v>6.5</v>
      </c>
      <c r="C147" s="112" t="s">
        <v>0</v>
      </c>
      <c r="E147" s="7"/>
      <c r="F147" s="7"/>
      <c r="G147" s="7"/>
      <c r="H147" s="7"/>
      <c r="I147" s="25"/>
    </row>
    <row r="148" spans="1:9" ht="12.75" customHeight="1" x14ac:dyDescent="0.25">
      <c r="A148" s="111"/>
      <c r="B148" s="37"/>
      <c r="C148" s="112"/>
      <c r="E148" s="7"/>
      <c r="F148" s="7"/>
      <c r="G148" s="7"/>
      <c r="H148" s="7"/>
      <c r="I148" s="25"/>
    </row>
    <row r="149" spans="1:9" ht="12.75" customHeight="1" x14ac:dyDescent="0.35">
      <c r="A149" s="111" t="s">
        <v>126</v>
      </c>
      <c r="B149" s="611">
        <f>(VINuvlo_off-VINuvlo_on*Vuvlo_off/Vuvlo_on)/(Iuvlo1*Vuvlo_off/Vuvlo_on-Iuvlo2)</f>
        <v>536.66666666666674</v>
      </c>
      <c r="C149" s="17" t="s">
        <v>113</v>
      </c>
      <c r="D149" s="7">
        <f>'Standard Value Calculator'!J16</f>
        <v>536</v>
      </c>
      <c r="E149" s="17" t="s">
        <v>113</v>
      </c>
      <c r="F149" s="37">
        <f>IF(Ruvlo1&lt;0,"N/A",D149)</f>
        <v>536</v>
      </c>
      <c r="G149" s="37" t="str">
        <f>IF(Ruvlo1&lt;0,"N/A",D149&amp;"kΩ")</f>
        <v>536kΩ</v>
      </c>
      <c r="I149" s="25"/>
    </row>
    <row r="150" spans="1:9" ht="12.75" customHeight="1" x14ac:dyDescent="0.35">
      <c r="A150" s="111" t="s">
        <v>127</v>
      </c>
      <c r="B150" s="194">
        <f>D149*Vuvlo_on/(VINuvlo_on-Vuvlo_on+Ruvlo1*Iuvlo1)</f>
        <v>100.5</v>
      </c>
      <c r="C150" s="17" t="s">
        <v>113</v>
      </c>
      <c r="D150" s="7">
        <f>'Standard Value Calculator'!J17</f>
        <v>100</v>
      </c>
      <c r="E150" s="17" t="s">
        <v>113</v>
      </c>
      <c r="F150" s="37">
        <f>IF(F149="N/A","N/A",D150)</f>
        <v>100</v>
      </c>
      <c r="G150" s="37" t="str">
        <f>IF(G149="N/A","N/A",D150&amp;"kΩ")</f>
        <v>100kΩ</v>
      </c>
      <c r="I150" s="25"/>
    </row>
    <row r="151" spans="1:9" ht="12.75" customHeight="1" x14ac:dyDescent="0.3">
      <c r="A151" s="111"/>
      <c r="B151" s="113"/>
      <c r="C151" s="17"/>
      <c r="D151" s="37"/>
      <c r="E151" s="17"/>
      <c r="F151" s="37"/>
      <c r="G151" s="37"/>
      <c r="I151" s="25"/>
    </row>
    <row r="152" spans="1:9" ht="12.75" customHeight="1" x14ac:dyDescent="0.35">
      <c r="A152" s="111" t="s">
        <v>114</v>
      </c>
      <c r="B152" s="612">
        <f>(D149+D150)/D150*Vuvlo_on</f>
        <v>9.5400000000000009</v>
      </c>
      <c r="C152" s="3" t="s">
        <v>0</v>
      </c>
      <c r="E152" s="7"/>
      <c r="F152" s="17"/>
      <c r="G152" s="7"/>
      <c r="H152" s="7"/>
      <c r="I152" s="25"/>
    </row>
    <row r="153" spans="1:9" ht="12.75" customHeight="1" x14ac:dyDescent="0.35">
      <c r="A153" s="111" t="s">
        <v>115</v>
      </c>
      <c r="B153" s="612">
        <f>(D149+D150)/D150*Vuvlo_off-Iuvlo2*D149</f>
        <v>6.5419999999999998</v>
      </c>
      <c r="C153" s="3" t="s">
        <v>0</v>
      </c>
      <c r="E153" s="7"/>
      <c r="F153" s="17"/>
      <c r="G153" s="7"/>
      <c r="H153" s="7"/>
      <c r="I153" s="25"/>
    </row>
    <row r="154" spans="1:9" ht="12.75" customHeight="1" thickBot="1" x14ac:dyDescent="0.3">
      <c r="A154" s="28"/>
      <c r="B154" s="38"/>
      <c r="C154" s="163"/>
      <c r="D154" s="29"/>
      <c r="E154" s="29"/>
      <c r="F154" s="29"/>
      <c r="G154" s="29"/>
      <c r="H154" s="29"/>
      <c r="I154" s="30"/>
    </row>
    <row r="155" spans="1:9" x14ac:dyDescent="0.25">
      <c r="B155" s="16"/>
      <c r="C155" s="164"/>
    </row>
    <row r="156" spans="1:9" ht="16.2" thickBot="1" x14ac:dyDescent="0.35">
      <c r="A156" s="51" t="s">
        <v>535</v>
      </c>
      <c r="B156" s="7"/>
      <c r="C156" s="40"/>
      <c r="D156" s="7"/>
      <c r="E156" s="7"/>
      <c r="F156" s="7"/>
      <c r="G156" s="7"/>
      <c r="H156" s="7"/>
      <c r="I156" s="7"/>
    </row>
    <row r="157" spans="1:9" x14ac:dyDescent="0.25">
      <c r="A157" s="182" t="s">
        <v>16</v>
      </c>
      <c r="B157" s="183">
        <v>3.1415926500000002</v>
      </c>
      <c r="C157" s="184"/>
      <c r="D157" s="185" t="s">
        <v>171</v>
      </c>
      <c r="E157" s="31"/>
      <c r="F157" s="31"/>
      <c r="G157" s="31"/>
      <c r="H157" s="31"/>
      <c r="I157" s="32"/>
    </row>
    <row r="158" spans="1:9" x14ac:dyDescent="0.25">
      <c r="A158" s="77" t="s">
        <v>186</v>
      </c>
      <c r="B158" s="211"/>
      <c r="C158" s="186" t="s">
        <v>185</v>
      </c>
      <c r="D158" s="188" t="s">
        <v>572</v>
      </c>
      <c r="I158" s="25"/>
    </row>
    <row r="159" spans="1:9" x14ac:dyDescent="0.25">
      <c r="A159" s="77" t="s">
        <v>187</v>
      </c>
      <c r="B159" s="211"/>
      <c r="C159" s="186" t="s">
        <v>185</v>
      </c>
      <c r="D159" s="188"/>
      <c r="I159" s="25"/>
    </row>
    <row r="160" spans="1:9" x14ac:dyDescent="0.25">
      <c r="C160" s="7"/>
      <c r="D160" s="7"/>
      <c r="F160" s="7"/>
      <c r="G160" s="7"/>
      <c r="H160" s="7"/>
      <c r="I160" s="25"/>
    </row>
    <row r="161" spans="1:9" ht="13.8" x14ac:dyDescent="0.3">
      <c r="A161" s="111" t="s">
        <v>399</v>
      </c>
      <c r="B161" s="176">
        <f>(Vout+Vfwd1)*Nps*10</f>
        <v>131</v>
      </c>
      <c r="C161" s="17" t="s">
        <v>113</v>
      </c>
      <c r="D161" s="78" t="s">
        <v>537</v>
      </c>
      <c r="F161" s="7"/>
      <c r="G161" s="7"/>
      <c r="H161" s="7"/>
      <c r="I161" s="25">
        <v>1</v>
      </c>
    </row>
    <row r="162" spans="1:9" ht="13.8" x14ac:dyDescent="0.3">
      <c r="A162" s="34" t="s">
        <v>536</v>
      </c>
      <c r="B162" s="181">
        <f>Rfb/1000</f>
        <v>150</v>
      </c>
      <c r="C162" s="17" t="s">
        <v>113</v>
      </c>
      <c r="D162" s="78" t="s">
        <v>534</v>
      </c>
      <c r="F162" s="7"/>
      <c r="G162" s="7"/>
      <c r="H162" s="7"/>
      <c r="I162" s="25"/>
    </row>
    <row r="163" spans="1:9" ht="13.8" x14ac:dyDescent="0.3">
      <c r="A163" s="111" t="s">
        <v>53</v>
      </c>
      <c r="B163" s="36">
        <f>'Standard Value Calculator'!J10/1000</f>
        <v>150</v>
      </c>
      <c r="C163" s="17" t="s">
        <v>113</v>
      </c>
      <c r="D163" s="78" t="s">
        <v>365</v>
      </c>
      <c r="F163" s="7"/>
      <c r="G163" s="7"/>
      <c r="H163" s="7"/>
      <c r="I163" s="25"/>
    </row>
    <row r="164" spans="1:9" ht="13.8" x14ac:dyDescent="0.3">
      <c r="A164" s="78"/>
      <c r="B164" s="12"/>
      <c r="C164" s="17"/>
      <c r="D164" s="78"/>
      <c r="F164" s="7"/>
      <c r="G164" s="7"/>
      <c r="H164" s="7"/>
      <c r="I164" s="25"/>
    </row>
    <row r="165" spans="1:9" x14ac:dyDescent="0.25">
      <c r="A165" s="112" t="s">
        <v>538</v>
      </c>
      <c r="B165" s="614">
        <f>'Design Converter'!E32</f>
        <v>-1.2</v>
      </c>
      <c r="C165" s="112" t="s">
        <v>392</v>
      </c>
      <c r="D165" s="78"/>
      <c r="F165" s="7"/>
      <c r="G165" s="7"/>
      <c r="H165" s="7"/>
      <c r="I165" s="25"/>
    </row>
    <row r="166" spans="1:9" ht="15.6" x14ac:dyDescent="0.35">
      <c r="A166" s="24" t="s">
        <v>533</v>
      </c>
      <c r="B166" s="378">
        <f>3*B162/Nps/ABS(Diode_TC)*1000</f>
        <v>187500</v>
      </c>
      <c r="C166" s="17" t="s">
        <v>136</v>
      </c>
      <c r="D166" s="78"/>
      <c r="F166" s="7"/>
      <c r="G166" s="7"/>
      <c r="H166" s="7"/>
      <c r="I166" s="25"/>
    </row>
    <row r="167" spans="1:9" ht="13.8" x14ac:dyDescent="0.3">
      <c r="A167" s="12" t="s">
        <v>539</v>
      </c>
      <c r="B167" s="174">
        <f>'Standard Value Calculator'!J9/1000</f>
        <v>187</v>
      </c>
      <c r="C167" s="17" t="s">
        <v>113</v>
      </c>
      <c r="D167" s="78"/>
      <c r="F167" s="7"/>
      <c r="G167" s="7"/>
      <c r="H167" s="7"/>
      <c r="I167" s="25"/>
    </row>
    <row r="168" spans="1:9" ht="13.8" thickBot="1" x14ac:dyDescent="0.3">
      <c r="A168" s="187"/>
      <c r="B168" s="187"/>
      <c r="C168" s="41"/>
      <c r="D168" s="29"/>
      <c r="E168" s="41"/>
      <c r="F168" s="29"/>
      <c r="G168" s="29"/>
      <c r="H168" s="29"/>
      <c r="I168" s="30"/>
    </row>
    <row r="169" spans="1:9" x14ac:dyDescent="0.25">
      <c r="A169" s="2"/>
      <c r="B169" s="18"/>
      <c r="C169" s="18"/>
      <c r="E169" s="18"/>
    </row>
    <row r="170" spans="1:9" x14ac:dyDescent="0.25">
      <c r="A170" s="2"/>
      <c r="B170" s="18"/>
      <c r="C170" s="18"/>
      <c r="E170" s="18"/>
    </row>
    <row r="171" spans="1:9" ht="16.2" thickBot="1" x14ac:dyDescent="0.35">
      <c r="A171" s="55" t="s">
        <v>83</v>
      </c>
      <c r="B171" s="7"/>
      <c r="C171" s="40"/>
      <c r="D171" s="7"/>
      <c r="E171" s="7"/>
      <c r="F171" s="7"/>
      <c r="G171" s="7"/>
      <c r="H171" s="7"/>
      <c r="I171" s="7"/>
    </row>
    <row r="172" spans="1:9" x14ac:dyDescent="0.25">
      <c r="A172" s="53"/>
      <c r="B172" s="31"/>
      <c r="C172" s="165"/>
      <c r="D172" s="31"/>
      <c r="E172" s="31"/>
      <c r="F172" s="31"/>
      <c r="G172" s="31"/>
      <c r="H172" s="31"/>
      <c r="I172" s="32"/>
    </row>
    <row r="173" spans="1:9" x14ac:dyDescent="0.25">
      <c r="A173" s="34" t="s">
        <v>26</v>
      </c>
      <c r="B173" s="7"/>
      <c r="C173" s="40"/>
      <c r="D173" s="7"/>
      <c r="E173" s="7"/>
      <c r="F173" s="7"/>
      <c r="G173" s="7"/>
      <c r="H173" s="7"/>
      <c r="I173" s="25"/>
    </row>
    <row r="174" spans="1:9" x14ac:dyDescent="0.25">
      <c r="A174" s="24" t="s">
        <v>36</v>
      </c>
      <c r="B174" s="10">
        <v>25</v>
      </c>
      <c r="C174" s="78" t="s">
        <v>102</v>
      </c>
      <c r="D174" s="7" t="s">
        <v>40</v>
      </c>
      <c r="F174" s="7"/>
      <c r="G174" s="7"/>
      <c r="H174" s="7"/>
      <c r="I174" s="25"/>
    </row>
    <row r="175" spans="1:9" x14ac:dyDescent="0.25">
      <c r="A175" s="34" t="s">
        <v>29</v>
      </c>
      <c r="B175" s="7"/>
      <c r="C175" s="7"/>
      <c r="D175" s="7"/>
      <c r="F175" s="7"/>
      <c r="G175" s="7"/>
      <c r="H175" s="7"/>
      <c r="I175" s="25"/>
    </row>
    <row r="176" spans="1:9" x14ac:dyDescent="0.25">
      <c r="A176" s="24" t="s">
        <v>35</v>
      </c>
      <c r="B176" s="27">
        <f>4000/1000000</f>
        <v>4.0000000000000001E-3</v>
      </c>
      <c r="C176" s="78" t="s">
        <v>138</v>
      </c>
      <c r="D176" s="78" t="s">
        <v>573</v>
      </c>
      <c r="F176" s="7"/>
      <c r="G176" s="7"/>
      <c r="H176" s="7"/>
      <c r="I176" s="25"/>
    </row>
    <row r="177" spans="1:9" ht="15.6" x14ac:dyDescent="0.35">
      <c r="A177" s="111" t="s">
        <v>178</v>
      </c>
      <c r="B177" s="27">
        <v>20</v>
      </c>
      <c r="C177" s="112" t="s">
        <v>84</v>
      </c>
      <c r="D177" s="78" t="s">
        <v>574</v>
      </c>
      <c r="F177" s="7"/>
      <c r="G177" s="7"/>
      <c r="H177" s="7"/>
      <c r="I177" s="25"/>
    </row>
    <row r="178" spans="1:9" x14ac:dyDescent="0.25">
      <c r="A178" s="24" t="s">
        <v>37</v>
      </c>
      <c r="B178" s="10">
        <f>RCinEsr</f>
        <v>5.0000000000000001E-3</v>
      </c>
      <c r="C178" s="114" t="s">
        <v>45</v>
      </c>
      <c r="D178" s="78" t="s">
        <v>179</v>
      </c>
      <c r="F178" s="7"/>
      <c r="G178" s="7"/>
      <c r="H178" s="7"/>
      <c r="I178" s="25"/>
    </row>
    <row r="179" spans="1:9" x14ac:dyDescent="0.25">
      <c r="A179" s="24"/>
      <c r="B179" s="10"/>
      <c r="C179" s="114"/>
      <c r="D179" s="78"/>
      <c r="F179" s="7"/>
      <c r="G179" s="7"/>
      <c r="H179" s="7"/>
      <c r="I179" s="25"/>
    </row>
    <row r="180" spans="1:9" x14ac:dyDescent="0.25">
      <c r="A180" s="33" t="s">
        <v>52</v>
      </c>
      <c r="B180" s="7"/>
      <c r="C180" s="7"/>
      <c r="D180" s="7"/>
      <c r="F180" s="7"/>
      <c r="G180" s="7"/>
      <c r="H180" s="7"/>
      <c r="I180" s="25"/>
    </row>
    <row r="181" spans="1:9" x14ac:dyDescent="0.25">
      <c r="A181" s="111" t="s">
        <v>286</v>
      </c>
      <c r="B181" s="27">
        <f>Vdd</f>
        <v>5</v>
      </c>
      <c r="C181" s="61" t="s">
        <v>0</v>
      </c>
      <c r="D181" s="189"/>
      <c r="F181" s="7"/>
      <c r="G181" s="7"/>
      <c r="H181" s="7"/>
      <c r="I181" s="25"/>
    </row>
    <row r="182" spans="1:9" x14ac:dyDescent="0.25">
      <c r="A182" s="24" t="s">
        <v>49</v>
      </c>
      <c r="B182" s="35">
        <f>IQ</f>
        <v>2.9E-4</v>
      </c>
      <c r="C182" s="7" t="s">
        <v>1</v>
      </c>
      <c r="D182" s="7" t="s">
        <v>50</v>
      </c>
      <c r="F182" s="7"/>
      <c r="G182" s="7"/>
      <c r="H182" s="7"/>
      <c r="I182" s="25"/>
    </row>
    <row r="183" spans="1:9" x14ac:dyDescent="0.25">
      <c r="A183" s="24"/>
      <c r="B183" s="7"/>
      <c r="C183" s="7"/>
      <c r="D183" s="7"/>
      <c r="F183" s="7"/>
      <c r="G183" s="7"/>
      <c r="H183" s="7"/>
      <c r="I183" s="25"/>
    </row>
    <row r="184" spans="1:9" x14ac:dyDescent="0.25">
      <c r="A184" s="56" t="s">
        <v>173</v>
      </c>
      <c r="B184" s="43" t="s">
        <v>6</v>
      </c>
      <c r="C184" s="14" t="s">
        <v>33</v>
      </c>
      <c r="D184" s="7"/>
      <c r="F184" s="7"/>
      <c r="G184" s="7"/>
      <c r="H184" s="7"/>
      <c r="I184" s="25"/>
    </row>
    <row r="185" spans="1:9" x14ac:dyDescent="0.25">
      <c r="A185" s="57" t="s">
        <v>44</v>
      </c>
      <c r="B185" s="44"/>
      <c r="C185" s="45" t="s">
        <v>45</v>
      </c>
      <c r="D185" s="7"/>
      <c r="F185" s="7"/>
      <c r="G185" s="7"/>
      <c r="H185" s="7"/>
      <c r="I185" s="25"/>
    </row>
    <row r="186" spans="1:9" x14ac:dyDescent="0.25">
      <c r="A186" s="57" t="s">
        <v>46</v>
      </c>
      <c r="B186" s="13" t="e">
        <f>B185*ThetaJaCtrl</f>
        <v>#NAME?</v>
      </c>
      <c r="C186" s="112" t="s">
        <v>102</v>
      </c>
      <c r="D186" s="7"/>
      <c r="F186" s="7"/>
      <c r="G186" s="7"/>
      <c r="H186" s="7"/>
      <c r="I186" s="25"/>
    </row>
    <row r="187" spans="1:9" x14ac:dyDescent="0.25">
      <c r="A187" s="57" t="s">
        <v>87</v>
      </c>
      <c r="B187" s="13" t="e">
        <f>(Qg_Q1+Qg_Q2)*Fsw+IQ</f>
        <v>#NAME?</v>
      </c>
      <c r="C187" s="12" t="s">
        <v>1</v>
      </c>
      <c r="D187" s="7"/>
      <c r="F187" s="7"/>
      <c r="G187" s="7"/>
      <c r="H187" s="7"/>
      <c r="I187" s="25"/>
    </row>
    <row r="188" spans="1:9" x14ac:dyDescent="0.25">
      <c r="A188" s="57" t="s">
        <v>88</v>
      </c>
      <c r="B188" s="12" t="e">
        <f>Qrr_Q2*Fsw</f>
        <v>#NAME?</v>
      </c>
      <c r="C188" s="12" t="s">
        <v>1</v>
      </c>
      <c r="D188" s="7"/>
      <c r="F188" s="7"/>
      <c r="G188" s="7"/>
      <c r="H188" s="7"/>
      <c r="I188" s="25"/>
    </row>
    <row r="189" spans="1:9" x14ac:dyDescent="0.25">
      <c r="A189" s="57" t="s">
        <v>89</v>
      </c>
      <c r="B189" s="12" t="e">
        <f>C189/Vin</f>
        <v>#NAME?</v>
      </c>
      <c r="C189" s="12" t="e">
        <f>Deadtime*Fsw*(Ipp/2)*(Vsd_Q1+Vsd_Q2)</f>
        <v>#NAME?</v>
      </c>
      <c r="D189" s="7"/>
      <c r="F189" s="7"/>
      <c r="G189" s="7"/>
      <c r="H189" s="7"/>
      <c r="I189" s="25"/>
    </row>
    <row r="190" spans="1:9" x14ac:dyDescent="0.25">
      <c r="A190" s="57" t="s">
        <v>91</v>
      </c>
      <c r="B190" s="12" t="e">
        <f>SUM(B187:B189)</f>
        <v>#NAME?</v>
      </c>
      <c r="C190" s="12" t="s">
        <v>1</v>
      </c>
      <c r="D190" s="7"/>
      <c r="F190" s="7"/>
      <c r="G190" s="7"/>
      <c r="H190" s="7"/>
      <c r="I190" s="25"/>
    </row>
    <row r="191" spans="1:9" ht="13.8" thickBot="1" x14ac:dyDescent="0.3">
      <c r="A191" s="28"/>
      <c r="B191" s="29"/>
      <c r="C191" s="166"/>
      <c r="D191" s="29"/>
      <c r="E191" s="29"/>
      <c r="F191" s="29"/>
      <c r="G191" s="29"/>
      <c r="H191" s="29"/>
      <c r="I191" s="30"/>
    </row>
    <row r="192" spans="1:9" x14ac:dyDescent="0.25">
      <c r="A192" s="2"/>
      <c r="B192" s="2"/>
      <c r="C192" s="2"/>
    </row>
    <row r="193" spans="1:9" ht="21.75" customHeight="1" thickBot="1" x14ac:dyDescent="0.35">
      <c r="A193" s="51" t="s">
        <v>85</v>
      </c>
      <c r="B193" s="7"/>
      <c r="C193" s="40"/>
      <c r="D193" s="7"/>
      <c r="E193" s="7"/>
      <c r="F193" s="7"/>
      <c r="G193" s="7"/>
      <c r="H193" s="7"/>
      <c r="I193" s="7"/>
    </row>
    <row r="194" spans="1:9" x14ac:dyDescent="0.25">
      <c r="A194" s="53"/>
      <c r="B194" s="31"/>
      <c r="C194" s="165"/>
      <c r="D194" s="31"/>
      <c r="E194" s="58"/>
      <c r="F194" s="58"/>
      <c r="G194" s="58"/>
      <c r="H194" s="58"/>
      <c r="I194" s="32"/>
    </row>
    <row r="195" spans="1:9" x14ac:dyDescent="0.25">
      <c r="A195" s="24"/>
      <c r="B195" s="112"/>
      <c r="C195" s="40"/>
      <c r="D195" s="7"/>
      <c r="E195" s="206"/>
      <c r="F195" s="206"/>
      <c r="G195" s="206"/>
      <c r="H195" s="206"/>
      <c r="I195" s="25"/>
    </row>
    <row r="196" spans="1:9" x14ac:dyDescent="0.25">
      <c r="A196" s="24" t="str">
        <f>"RUV1 = "&amp;'Design Converter'!E37&amp;"MΩ"</f>
        <v>RUV1 = 536MΩ</v>
      </c>
      <c r="B196" s="7" t="str">
        <f>C237</f>
        <v>536kΩ</v>
      </c>
      <c r="C196" s="40"/>
      <c r="D196" s="7"/>
      <c r="E196" s="206"/>
      <c r="F196" s="206"/>
      <c r="G196" s="206"/>
      <c r="H196" s="206"/>
      <c r="I196" s="25"/>
    </row>
    <row r="197" spans="1:9" x14ac:dyDescent="0.25">
      <c r="A197" s="24" t="str">
        <f>"RUV2 = "&amp;'Design Converter'!E38&amp;"kΩ"</f>
        <v>RUV2 = 100kΩ</v>
      </c>
      <c r="B197" s="7" t="str">
        <f>C238</f>
        <v>100kΩ</v>
      </c>
      <c r="C197" s="40"/>
      <c r="D197" s="7"/>
      <c r="E197" s="206"/>
      <c r="F197" s="206"/>
      <c r="G197" s="206"/>
      <c r="H197" s="206"/>
      <c r="I197" s="25"/>
    </row>
    <row r="198" spans="1:9" x14ac:dyDescent="0.25">
      <c r="A198" s="24"/>
      <c r="B198" s="7"/>
      <c r="C198" s="40"/>
      <c r="D198" s="7"/>
      <c r="E198" s="206"/>
      <c r="F198" s="206"/>
      <c r="G198" s="206"/>
      <c r="H198" s="206"/>
      <c r="I198" s="25"/>
    </row>
    <row r="199" spans="1:9" x14ac:dyDescent="0.25">
      <c r="A199" s="24" t="str">
        <f>"Lmag = "&amp;'Design Converter'!L7&amp;"µH"</f>
        <v>Lmag = 55µH</v>
      </c>
      <c r="B199" s="7" t="str">
        <f>'Design Converter'!L7&amp;"µH"</f>
        <v>55µH</v>
      </c>
      <c r="C199" s="40"/>
      <c r="D199" s="7"/>
      <c r="E199" s="7"/>
      <c r="F199" s="7"/>
      <c r="G199" s="7"/>
      <c r="H199" s="7"/>
      <c r="I199" s="25"/>
    </row>
    <row r="200" spans="1:9" x14ac:dyDescent="0.25">
      <c r="A200" s="24" t="str">
        <f>"Rdcr = "&amp;Rdcr_pri*1000&amp;"mΩ"</f>
        <v>Rdcr = 110mΩ</v>
      </c>
      <c r="B200" s="205" t="str">
        <f>Rdcr_pri*1000&amp;"mΩ"</f>
        <v>110mΩ</v>
      </c>
      <c r="C200" s="40"/>
      <c r="D200" s="7"/>
      <c r="E200" s="7"/>
      <c r="F200" s="7"/>
      <c r="G200" s="7"/>
      <c r="H200" s="7"/>
      <c r="I200" s="25"/>
    </row>
    <row r="201" spans="1:9" x14ac:dyDescent="0.25">
      <c r="A201" s="111" t="s">
        <v>397</v>
      </c>
      <c r="B201" s="205" t="str">
        <f>W44</f>
        <v>2 : 1 : 2,33</v>
      </c>
      <c r="C201" s="40"/>
      <c r="D201" s="7"/>
      <c r="E201" s="7"/>
      <c r="F201" s="7"/>
      <c r="G201" s="7"/>
      <c r="H201" s="7"/>
      <c r="I201" s="25"/>
    </row>
    <row r="202" spans="1:9" x14ac:dyDescent="0.25">
      <c r="A202" s="24"/>
      <c r="B202" s="205"/>
      <c r="C202" s="40"/>
      <c r="D202" s="7"/>
      <c r="E202" s="7"/>
      <c r="F202" s="7"/>
      <c r="G202" s="7"/>
      <c r="H202" s="7"/>
      <c r="I202" s="25"/>
    </row>
    <row r="203" spans="1:9" x14ac:dyDescent="0.25">
      <c r="A203" s="24" t="str">
        <f>"Css = "&amp;ROUND(Css_u*1000000000,1)&amp;"nF"</f>
        <v>Css = 22nF</v>
      </c>
      <c r="B203" s="7" t="str">
        <f>ROUND(Css_u*1000000000,1)&amp;"nF"</f>
        <v>22nF</v>
      </c>
      <c r="C203" s="40"/>
      <c r="D203" s="7"/>
      <c r="E203" s="7"/>
      <c r="F203" s="7"/>
      <c r="G203" s="7"/>
      <c r="H203" s="7"/>
      <c r="I203" s="25"/>
    </row>
    <row r="204" spans="1:9" x14ac:dyDescent="0.25">
      <c r="A204" s="24"/>
      <c r="B204" s="7"/>
      <c r="C204" s="40"/>
      <c r="D204" s="7"/>
      <c r="E204" s="7"/>
      <c r="F204" s="7"/>
      <c r="G204" s="7"/>
      <c r="H204" s="7"/>
      <c r="I204" s="25"/>
    </row>
    <row r="205" spans="1:9" x14ac:dyDescent="0.25">
      <c r="A205" s="24" t="s">
        <v>57</v>
      </c>
      <c r="B205" s="7" t="str">
        <f>VIN_nom&amp;"V"</f>
        <v>24V</v>
      </c>
      <c r="C205" s="40"/>
      <c r="D205" s="7"/>
      <c r="E205" s="7"/>
      <c r="F205" s="7"/>
      <c r="G205" s="7"/>
      <c r="H205" s="7"/>
      <c r="I205" s="25"/>
    </row>
    <row r="206" spans="1:9" x14ac:dyDescent="0.25">
      <c r="A206" s="111" t="s">
        <v>188</v>
      </c>
      <c r="B206" s="7" t="str">
        <f>VIN_min&amp;"V..."&amp;VIN_max&amp;"V"</f>
        <v>10V...50V</v>
      </c>
      <c r="C206" s="40"/>
      <c r="D206" s="7"/>
      <c r="E206" s="7"/>
      <c r="F206" s="7"/>
      <c r="G206" s="7"/>
      <c r="H206" s="7"/>
      <c r="I206" s="25"/>
    </row>
    <row r="207" spans="1:9" x14ac:dyDescent="0.25">
      <c r="A207" s="111"/>
      <c r="B207" s="7"/>
      <c r="C207" s="40"/>
      <c r="D207" s="7"/>
      <c r="E207" s="7"/>
      <c r="F207" s="7"/>
      <c r="G207" s="7"/>
      <c r="H207" s="7"/>
      <c r="I207" s="25"/>
    </row>
    <row r="208" spans="1:9" x14ac:dyDescent="0.25">
      <c r="A208" s="24" t="str">
        <f>"VOUT = "&amp;'Design Converter'!E10&amp;"V"</f>
        <v>VOUT = 6,3V</v>
      </c>
      <c r="B208" s="7" t="str">
        <f>'Design Converter'!E10&amp;"V"</f>
        <v>6,3V</v>
      </c>
      <c r="C208" s="40"/>
      <c r="D208" s="7">
        <f>MODE</f>
        <v>2</v>
      </c>
      <c r="E208" s="7"/>
      <c r="F208" s="7"/>
      <c r="G208" s="7"/>
      <c r="H208" s="7"/>
      <c r="I208" s="25"/>
    </row>
    <row r="209" spans="1:9" x14ac:dyDescent="0.25">
      <c r="A209" s="24" t="str">
        <f>"VOUT2 = "&amp;'Design Converter'!E12&amp;"V"</f>
        <v>VOUT2 = -15V</v>
      </c>
      <c r="B209" s="7" t="str">
        <f>IF(MODE_TOP="DUAL", 'Design Converter'!E12&amp;"V", "")</f>
        <v/>
      </c>
      <c r="C209" s="40"/>
      <c r="D209" s="78" t="b">
        <f>MODE=2</f>
        <v>1</v>
      </c>
      <c r="E209" s="7"/>
      <c r="F209" s="7"/>
      <c r="G209" s="7"/>
      <c r="H209" s="7"/>
      <c r="I209" s="25"/>
    </row>
    <row r="210" spans="1:9" x14ac:dyDescent="0.25">
      <c r="A210" s="24" t="str">
        <f>"VOUT2 = "&amp;'Design Converter'!E12&amp;"V"</f>
        <v>VOUT2 = -15V</v>
      </c>
      <c r="B210" s="7" t="str">
        <f>IF(MODE_TOP="BIPOLAR", 'Design Converter'!E12&amp;"V", "")</f>
        <v>-15V</v>
      </c>
      <c r="C210" s="40"/>
      <c r="D210" s="7"/>
      <c r="E210" s="7"/>
      <c r="F210" s="7"/>
      <c r="G210" s="7"/>
      <c r="H210" s="7"/>
      <c r="I210" s="25"/>
    </row>
    <row r="211" spans="1:9" x14ac:dyDescent="0.25">
      <c r="A211" s="24"/>
      <c r="B211" s="7"/>
      <c r="C211" s="40"/>
      <c r="D211" s="7"/>
      <c r="E211" s="7"/>
      <c r="F211" s="7"/>
      <c r="G211" s="7"/>
      <c r="H211" s="7"/>
      <c r="I211" s="25"/>
    </row>
    <row r="212" spans="1:9" x14ac:dyDescent="0.25">
      <c r="A212" s="404" t="s">
        <v>527</v>
      </c>
      <c r="B212" s="78" t="str">
        <f>IF(MODE=1, "", "Co1")</f>
        <v>Co1</v>
      </c>
      <c r="C212" s="78" t="str">
        <f>IF(MODE_TOP="DUAL", "Co2", "")</f>
        <v/>
      </c>
      <c r="D212" s="78" t="str">
        <f>IF(MODE_TOP="BIPOLAR", "Co2", "")</f>
        <v>Co2</v>
      </c>
      <c r="E212" s="7"/>
      <c r="F212" s="78" t="str">
        <f>MODE_TOP</f>
        <v>BIPOLAR</v>
      </c>
      <c r="G212" s="7"/>
      <c r="H212" s="7"/>
      <c r="I212" s="25"/>
    </row>
    <row r="213" spans="1:9" x14ac:dyDescent="0.25">
      <c r="A213" s="24" t="str">
        <f>"COUT = "&amp;'Design Converter'!$E$21&amp;"µF"</f>
        <v>COUT = 88µF</v>
      </c>
      <c r="B213" s="7" t="str">
        <f>'Design Converter'!$E$21&amp;"µF"</f>
        <v>88µF</v>
      </c>
      <c r="C213" s="7" t="str">
        <f>IF(MODE_TOP="DUAL", 'Design Converter'!$L$21&amp;"µF", "")</f>
        <v/>
      </c>
      <c r="D213" s="7" t="str">
        <f>IF(MODE_TOP="BIPOLAR", 'Design Converter'!$L$21&amp;"µF", "")</f>
        <v>44µF</v>
      </c>
      <c r="E213" s="7"/>
      <c r="F213" s="7" t="str">
        <f>'Design Converter'!$L$21&amp;"µF"</f>
        <v>44µF</v>
      </c>
      <c r="G213" s="7"/>
      <c r="H213" s="7"/>
      <c r="I213" s="25"/>
    </row>
    <row r="214" spans="1:9" x14ac:dyDescent="0.25">
      <c r="A214" s="111" t="s">
        <v>134</v>
      </c>
      <c r="B214" s="7" t="str">
        <f>"22µF"</f>
        <v>22µF</v>
      </c>
      <c r="C214" s="40"/>
      <c r="D214" s="7"/>
      <c r="E214" s="7"/>
      <c r="F214" s="7"/>
      <c r="G214" s="7"/>
      <c r="H214" s="7"/>
      <c r="I214" s="25"/>
    </row>
    <row r="215" spans="1:9" x14ac:dyDescent="0.25">
      <c r="A215" s="111" t="s">
        <v>135</v>
      </c>
      <c r="B215" s="79" t="str">
        <f>ROUNDUP(Cout/22,0)&amp;" x"</f>
        <v>4 x</v>
      </c>
      <c r="C215" s="167"/>
      <c r="D215" s="7"/>
      <c r="E215" s="7"/>
      <c r="F215" s="7"/>
      <c r="G215" s="7"/>
      <c r="H215" s="7"/>
      <c r="I215" s="25"/>
    </row>
    <row r="216" spans="1:9" x14ac:dyDescent="0.25">
      <c r="A216" s="111"/>
      <c r="B216" s="79">
        <f>Cout</f>
        <v>88</v>
      </c>
      <c r="C216" s="167"/>
      <c r="D216" s="7"/>
      <c r="E216" s="7"/>
      <c r="F216" s="7"/>
      <c r="G216" s="7"/>
      <c r="H216" s="7"/>
      <c r="I216" s="25"/>
    </row>
    <row r="217" spans="1:9" x14ac:dyDescent="0.25">
      <c r="A217" s="404" t="s">
        <v>528</v>
      </c>
      <c r="B217" s="7"/>
      <c r="C217" s="40"/>
      <c r="D217" s="7"/>
      <c r="E217" s="7"/>
      <c r="F217" s="7"/>
      <c r="G217" s="7"/>
      <c r="H217" s="7"/>
      <c r="I217" s="25"/>
    </row>
    <row r="218" spans="1:9" x14ac:dyDescent="0.25">
      <c r="A218" s="24" t="s">
        <v>95</v>
      </c>
      <c r="B218" s="7" t="str">
        <f>Cin&amp;"µF"</f>
        <v>2,2µF</v>
      </c>
      <c r="E218" s="7"/>
      <c r="F218" s="7"/>
      <c r="G218" s="7"/>
      <c r="H218" s="7"/>
      <c r="I218" s="25"/>
    </row>
    <row r="219" spans="1:9" x14ac:dyDescent="0.25">
      <c r="A219" s="111" t="s">
        <v>133</v>
      </c>
      <c r="B219" s="7" t="str">
        <f>"4.7µF"</f>
        <v>4.7µF</v>
      </c>
      <c r="C219" s="40"/>
      <c r="D219" s="7"/>
      <c r="E219" s="7"/>
      <c r="F219" s="7"/>
      <c r="G219" s="7"/>
      <c r="H219" s="7"/>
      <c r="I219" s="25"/>
    </row>
    <row r="220" spans="1:9" x14ac:dyDescent="0.25">
      <c r="A220" s="111" t="s">
        <v>132</v>
      </c>
      <c r="B220" s="79" t="str">
        <f>ROUNDUP(Cin/4.7,0)&amp;" x"</f>
        <v>1 x</v>
      </c>
      <c r="C220" s="167"/>
      <c r="D220" s="7"/>
      <c r="E220" s="7"/>
      <c r="F220" s="7"/>
      <c r="G220" s="7"/>
      <c r="H220" s="7"/>
      <c r="I220" s="25"/>
    </row>
    <row r="221" spans="1:9" x14ac:dyDescent="0.25">
      <c r="A221" s="111"/>
      <c r="B221" s="79"/>
      <c r="D221" s="7"/>
      <c r="E221" s="7"/>
      <c r="F221" s="7"/>
      <c r="G221" s="7"/>
      <c r="H221" s="7"/>
      <c r="I221" s="25"/>
    </row>
    <row r="222" spans="1:9" ht="15.6" x14ac:dyDescent="0.35">
      <c r="A222" s="111" t="s">
        <v>529</v>
      </c>
      <c r="B222" s="599" t="s">
        <v>530</v>
      </c>
      <c r="C222" s="599" t="s">
        <v>575</v>
      </c>
      <c r="D222" s="7"/>
      <c r="E222" s="7"/>
      <c r="F222" s="7"/>
      <c r="G222" s="7"/>
      <c r="H222" s="7"/>
      <c r="I222" s="25"/>
    </row>
    <row r="223" spans="1:9" x14ac:dyDescent="0.25">
      <c r="A223" s="111"/>
      <c r="B223" s="79"/>
      <c r="D223" s="7"/>
      <c r="E223" s="7"/>
      <c r="F223" s="7"/>
      <c r="G223" s="7"/>
      <c r="H223" s="7"/>
      <c r="I223" s="25"/>
    </row>
    <row r="224" spans="1:9" x14ac:dyDescent="0.25">
      <c r="A224" s="404" t="s">
        <v>396</v>
      </c>
      <c r="B224" s="167" t="str">
        <f>IF(MODE_TC=1, "YES", "NO")</f>
        <v>NO</v>
      </c>
      <c r="D224" s="7"/>
      <c r="E224" s="7"/>
      <c r="F224" s="7"/>
      <c r="G224" s="7"/>
      <c r="H224" s="7"/>
      <c r="I224" s="25"/>
    </row>
    <row r="225" spans="1:9" x14ac:dyDescent="0.25">
      <c r="A225" s="111" t="s">
        <v>301</v>
      </c>
      <c r="B225" s="167" t="str">
        <f>IF(MODE_TC=2, "YES", "NO")</f>
        <v>YES</v>
      </c>
      <c r="C225" s="394" t="str">
        <f>IF(MODE_TC=2, "R1", "")</f>
        <v>R1</v>
      </c>
      <c r="D225" s="394" t="str">
        <f>IF(MODE_TC=2, "R2", "")</f>
        <v>R2</v>
      </c>
      <c r="E225" s="394"/>
      <c r="F225" s="7"/>
      <c r="G225" s="7"/>
      <c r="H225" s="7"/>
      <c r="I225" s="25"/>
    </row>
    <row r="226" spans="1:9" x14ac:dyDescent="0.25">
      <c r="A226" s="24" t="str">
        <f>"RFB = "&amp;'Design Converter'!E26&amp;"kΩ"</f>
        <v>RFB = 131kΩ</v>
      </c>
      <c r="B226" s="7" t="str">
        <f>IF(MODE_TC=1, "", 'Design Converter'!E26&amp;"kΩ")</f>
        <v>131kΩ</v>
      </c>
      <c r="C226" s="78" t="str">
        <f>'Design Converter'!E26&amp;"kΩ"</f>
        <v>131kΩ</v>
      </c>
      <c r="D226" s="7"/>
      <c r="E226" s="7"/>
      <c r="F226" s="7"/>
      <c r="G226" s="7"/>
      <c r="H226" s="7"/>
      <c r="I226" s="25"/>
    </row>
    <row r="227" spans="1:9" x14ac:dyDescent="0.25">
      <c r="A227" s="24" t="str">
        <f>"RFB2 = "&amp;IF(Vout=Vref,"OPEN",'Design Converter'!E27&amp;"kΩ")</f>
        <v>RFB2 = 150kΩ</v>
      </c>
      <c r="B227" s="7" t="str">
        <f>IF(MODE_TC=1, "", IF(Vout=Vref,"OPEN",Rfb2_u/1000&amp;"kΩ"))</f>
        <v>0,15kΩ</v>
      </c>
      <c r="C227" s="78" t="str">
        <f>'Design Converter'!E27&amp;"kΩ"</f>
        <v>150kΩ</v>
      </c>
      <c r="D227" s="7"/>
      <c r="E227" s="7"/>
      <c r="F227" s="7"/>
      <c r="G227" s="7"/>
      <c r="H227" s="7"/>
      <c r="I227" s="25"/>
    </row>
    <row r="228" spans="1:9" x14ac:dyDescent="0.25">
      <c r="A228" s="24"/>
      <c r="B228" s="7"/>
      <c r="C228" s="78"/>
      <c r="D228" s="7"/>
      <c r="E228" s="7"/>
      <c r="F228" s="7"/>
      <c r="G228" s="7"/>
      <c r="H228" s="7"/>
      <c r="I228" s="25"/>
    </row>
    <row r="229" spans="1:9" x14ac:dyDescent="0.25">
      <c r="A229" s="111" t="s">
        <v>305</v>
      </c>
      <c r="B229" s="40" t="str">
        <f>IF(MODE=1, "YES", "NO")</f>
        <v>NO</v>
      </c>
      <c r="C229" s="7" t="str">
        <f>IF(MODE=1,"Rt", "")</f>
        <v/>
      </c>
      <c r="D229" s="7"/>
      <c r="E229" s="7"/>
      <c r="F229" s="7"/>
      <c r="G229" s="7"/>
      <c r="H229" s="7"/>
      <c r="I229" s="25"/>
    </row>
    <row r="230" spans="1:9" x14ac:dyDescent="0.25">
      <c r="A230" s="111" t="s">
        <v>139</v>
      </c>
      <c r="B230" s="7" t="str">
        <f>IF(MODE=2, "", 'Standard Value Calculator'!J4/1000&amp;"kΩ")</f>
        <v/>
      </c>
      <c r="C230" s="40"/>
      <c r="D230" s="7"/>
      <c r="E230" s="7"/>
      <c r="F230" s="7"/>
      <c r="G230" s="7"/>
      <c r="H230" s="7"/>
      <c r="I230" s="25"/>
    </row>
    <row r="231" spans="1:9" x14ac:dyDescent="0.25">
      <c r="A231" s="111"/>
      <c r="B231" s="7"/>
      <c r="C231" s="40"/>
      <c r="D231" s="7"/>
      <c r="E231" s="7"/>
      <c r="F231" s="7"/>
      <c r="G231" s="7"/>
      <c r="H231" s="7"/>
      <c r="I231" s="25"/>
    </row>
    <row r="232" spans="1:9" x14ac:dyDescent="0.25">
      <c r="A232" s="404" t="s">
        <v>386</v>
      </c>
      <c r="B232" s="167" t="str">
        <f>IF(MODE=1, "YES", "NO")</f>
        <v>NO</v>
      </c>
      <c r="C232" s="78" t="str">
        <f>IF(TC=1,"Rtc", "")</f>
        <v/>
      </c>
      <c r="D232" s="7"/>
      <c r="E232" s="7"/>
      <c r="F232" s="7"/>
      <c r="G232" s="7"/>
      <c r="H232" s="7"/>
      <c r="I232" s="25"/>
    </row>
    <row r="233" spans="1:9" x14ac:dyDescent="0.25">
      <c r="A233" s="540" t="str">
        <f>"RTC = "&amp;RTC&amp;"kΩ"</f>
        <v>RTC = 187kΩ</v>
      </c>
      <c r="B233" s="7" t="str">
        <f>IF(TC=1, RTC&amp;"kΩ", "")</f>
        <v/>
      </c>
      <c r="C233" s="78" t="str">
        <f>CHOOSE(TC,"Rtc","")</f>
        <v/>
      </c>
      <c r="D233" s="7"/>
      <c r="E233" s="7"/>
      <c r="F233" s="8"/>
      <c r="G233" s="7"/>
      <c r="H233" s="7"/>
      <c r="I233" s="25"/>
    </row>
    <row r="234" spans="1:9" x14ac:dyDescent="0.25">
      <c r="A234" s="111" t="s">
        <v>389</v>
      </c>
      <c r="B234" s="375"/>
      <c r="C234" s="7"/>
      <c r="D234" s="7"/>
      <c r="E234" s="7"/>
      <c r="F234" s="8"/>
      <c r="G234" s="7"/>
      <c r="H234" s="7"/>
      <c r="I234" s="25"/>
    </row>
    <row r="235" spans="1:9" x14ac:dyDescent="0.25">
      <c r="A235" s="24"/>
      <c r="B235" s="79"/>
      <c r="C235" s="167"/>
      <c r="D235" s="7"/>
      <c r="E235" s="114"/>
      <c r="F235" s="7"/>
      <c r="G235" s="7"/>
      <c r="H235" s="7"/>
      <c r="I235" s="25"/>
    </row>
    <row r="236" spans="1:9" x14ac:dyDescent="0.25">
      <c r="A236" s="404" t="s">
        <v>309</v>
      </c>
      <c r="B236" s="167" t="str">
        <f>IF(MODE_UVLO=1, "YES", "NO")</f>
        <v>YES</v>
      </c>
      <c r="C236" s="394" t="str">
        <f>IF(MODE_UVLO=1, "Ruv1", "")</f>
        <v>Ruv1</v>
      </c>
      <c r="D236" s="394" t="str">
        <f>IF(MODE_UVLO=1, "Ruv2", "")</f>
        <v>Ruv2</v>
      </c>
      <c r="E236" s="394"/>
      <c r="F236" s="394" t="s">
        <v>6</v>
      </c>
      <c r="G236" s="394" t="s">
        <v>33</v>
      </c>
      <c r="H236" s="78" t="s">
        <v>343</v>
      </c>
      <c r="I236" s="25"/>
    </row>
    <row r="237" spans="1:9" x14ac:dyDescent="0.25">
      <c r="A237" s="24" t="str">
        <f>"RUV1 = "&amp;C237</f>
        <v>RUV1 = 536kΩ</v>
      </c>
      <c r="B237" s="7" t="str">
        <f>'Design Converter'!E37&amp;" kΩ"</f>
        <v>536 kΩ</v>
      </c>
      <c r="C237" s="394" t="str">
        <f>IF(MODE_UVLO=1,'Design Converter'!E37&amp;"kΩ", "")</f>
        <v>536kΩ</v>
      </c>
      <c r="F237" s="7">
        <f>IF(MODE_UVLO=1,'Design Converter'!E37, "")</f>
        <v>536</v>
      </c>
      <c r="G237" s="78" t="str">
        <f>IF(MODE_UVLO=1,"kΩ", "")</f>
        <v>kΩ</v>
      </c>
      <c r="H237" s="394" t="str">
        <f>IF(MODE_UVLO=1,'Design Converter'!E37&amp;"k", "")</f>
        <v>536k</v>
      </c>
      <c r="I237" s="25"/>
    </row>
    <row r="238" spans="1:9" x14ac:dyDescent="0.25">
      <c r="A238" s="24" t="str">
        <f>"RUV2 = "&amp;C238</f>
        <v>RUV2 = 100kΩ</v>
      </c>
      <c r="B238" s="7" t="str">
        <f>IF(D150&gt;=1000, D150/1000&amp;" MΩ", D150&amp;" kΩ")</f>
        <v>100 kΩ</v>
      </c>
      <c r="C238" s="394" t="str">
        <f>IF(MODE_UVLO=1, IF(D150&lt;1, D150*1000&amp;"Ω", IF(D150&lt;1000, D150&amp;"kΩ", D150/1000&amp;"MΩ")), "")</f>
        <v>100kΩ</v>
      </c>
      <c r="F238" s="7">
        <f>IF(MODE_UVLO=1, IF(D150&lt;1, D150*1000, IF(D150&lt;1000, D150, D150/1000)), "")</f>
        <v>100</v>
      </c>
      <c r="G238" s="78" t="str">
        <f>IF(MODE_UVLO=1, IF(D150&lt;1, "Ω", IF(D150&lt;1000,"kΩ", "MΩ")), "")</f>
        <v>kΩ</v>
      </c>
      <c r="H238" s="394" t="str">
        <f>IF(MODE_UVLO=1, IF(D150&lt;1, D150*1000, IF(D150&lt;1000, D150&amp;"k", D150/1000&amp;"M")), "")</f>
        <v>100k</v>
      </c>
      <c r="I238" s="25"/>
    </row>
    <row r="239" spans="1:9" x14ac:dyDescent="0.25">
      <c r="A239" s="24"/>
      <c r="B239" s="7"/>
      <c r="C239" s="394"/>
      <c r="F239" s="7"/>
      <c r="G239" s="78"/>
      <c r="H239" s="394"/>
      <c r="I239" s="25"/>
    </row>
    <row r="240" spans="1:9" x14ac:dyDescent="0.25">
      <c r="A240" s="404" t="s">
        <v>390</v>
      </c>
      <c r="B240" s="7"/>
      <c r="C240" s="394"/>
      <c r="F240" s="7"/>
      <c r="G240" s="78"/>
      <c r="H240" s="394"/>
      <c r="I240" s="25"/>
    </row>
    <row r="241" spans="1:9" x14ac:dyDescent="0.25">
      <c r="A241" s="24" t="str">
        <f>"RSET = "&amp;C241</f>
        <v>RSET = 12.1kΩ</v>
      </c>
      <c r="B241" s="78" t="s">
        <v>385</v>
      </c>
      <c r="C241" s="78" t="s">
        <v>555</v>
      </c>
      <c r="F241" s="7">
        <f>IF(MODE_UVLO=1, IF(D151&lt;1, D151*1000, IF(D151&lt;1000, D151, D151/1000)), "")</f>
        <v>0</v>
      </c>
      <c r="G241" s="78" t="str">
        <f>IF(MODE_UVLO=1, IF(D151&lt;1, "Ω", IF(D151&lt;1000,"kΩ", "MΩ")), "")</f>
        <v>Ω</v>
      </c>
      <c r="H241" s="394">
        <f>IF(MODE_UVLO=1, IF(D151&lt;1, D151*1000, IF(D151&lt;1000, D151&amp;"k", D151&amp;"M")), "")</f>
        <v>0</v>
      </c>
      <c r="I241" s="25"/>
    </row>
    <row r="242" spans="1:9" x14ac:dyDescent="0.25">
      <c r="A242" s="24"/>
      <c r="B242" s="78"/>
      <c r="C242" s="78"/>
      <c r="F242" s="7"/>
      <c r="G242" s="78"/>
      <c r="H242" s="394"/>
      <c r="I242" s="25"/>
    </row>
    <row r="243" spans="1:9" x14ac:dyDescent="0.25">
      <c r="A243" s="404" t="s">
        <v>391</v>
      </c>
      <c r="B243" s="79"/>
      <c r="C243" s="167"/>
      <c r="D243" s="7"/>
      <c r="E243" s="114"/>
      <c r="F243" s="7"/>
      <c r="G243" s="7"/>
      <c r="H243" s="7"/>
      <c r="I243" s="25"/>
    </row>
    <row r="244" spans="1:9" x14ac:dyDescent="0.25">
      <c r="A244" s="24" t="str">
        <f>"Css = "&amp;Css*1000000000&amp;"nF"</f>
        <v>Css = 20,8333333333333nF</v>
      </c>
      <c r="B244" s="7" t="str">
        <f>Css*1000000000&amp;"nF"</f>
        <v>20,8333333333333nF</v>
      </c>
      <c r="D244" s="7"/>
      <c r="E244" s="7"/>
      <c r="F244" s="7"/>
      <c r="G244" s="7"/>
      <c r="H244" s="7"/>
      <c r="I244" s="25"/>
    </row>
    <row r="245" spans="1:9" x14ac:dyDescent="0.25">
      <c r="A245" s="24" t="s">
        <v>66</v>
      </c>
      <c r="B245" s="7" t="str">
        <f>CHOOSE(MODE_SS,'Standard Value Calculator'!B4*1000000000&amp;"nF","")</f>
        <v>22nF</v>
      </c>
      <c r="C245" s="7" t="str">
        <f>CHOOSE(MODE_SS,"Css","")</f>
        <v>Css</v>
      </c>
      <c r="D245" s="405" t="str">
        <f>B245</f>
        <v>22nF</v>
      </c>
      <c r="E245" s="7"/>
      <c r="F245" s="7"/>
      <c r="G245" s="7"/>
      <c r="H245" s="7"/>
      <c r="I245" s="25"/>
    </row>
    <row r="246" spans="1:9" x14ac:dyDescent="0.25">
      <c r="A246" s="24"/>
      <c r="B246" s="7"/>
      <c r="C246" s="78" t="str">
        <f>C245</f>
        <v>Css</v>
      </c>
      <c r="D246" s="40"/>
      <c r="E246" s="7"/>
      <c r="F246" s="7"/>
      <c r="G246" s="7"/>
      <c r="H246" s="7"/>
      <c r="I246" s="25"/>
    </row>
    <row r="247" spans="1:9" x14ac:dyDescent="0.25">
      <c r="A247" s="24"/>
      <c r="B247" s="7"/>
      <c r="C247" s="78"/>
      <c r="D247" s="40"/>
      <c r="E247" s="7"/>
      <c r="F247" s="7"/>
      <c r="G247" s="7"/>
      <c r="H247" s="7"/>
      <c r="I247" s="25"/>
    </row>
    <row r="248" spans="1:9" x14ac:dyDescent="0.25">
      <c r="A248" s="111" t="s">
        <v>668</v>
      </c>
      <c r="B248" s="78">
        <f>ROUND(Iout*2,1)</f>
        <v>0.2</v>
      </c>
      <c r="C248" s="78" t="s">
        <v>1</v>
      </c>
      <c r="D248" s="7"/>
      <c r="E248" s="7"/>
      <c r="F248" s="7"/>
      <c r="G248" s="7"/>
      <c r="H248" s="7"/>
      <c r="I248" s="25"/>
    </row>
    <row r="249" spans="1:9" x14ac:dyDescent="0.25">
      <c r="A249" s="111" t="s">
        <v>669</v>
      </c>
      <c r="B249">
        <f>ROUND(VRRM_DIODE,0)</f>
        <v>31</v>
      </c>
      <c r="C249" s="78" t="s">
        <v>0</v>
      </c>
      <c r="D249" s="7"/>
      <c r="E249" s="7"/>
      <c r="F249" s="7"/>
      <c r="G249" s="7"/>
      <c r="H249" s="7"/>
      <c r="I249" s="25"/>
    </row>
    <row r="250" spans="1:9" x14ac:dyDescent="0.25">
      <c r="F250" s="7"/>
      <c r="G250" s="7"/>
      <c r="H250" s="7"/>
      <c r="I250" s="25"/>
    </row>
    <row r="251" spans="1:9" x14ac:dyDescent="0.25">
      <c r="A251" s="111"/>
      <c r="B251" s="375"/>
      <c r="C251" s="7"/>
      <c r="D251" s="7"/>
      <c r="E251" s="7"/>
      <c r="F251" s="7"/>
      <c r="G251" s="7"/>
      <c r="H251" s="7"/>
      <c r="I251" s="25"/>
    </row>
    <row r="252" spans="1:9" x14ac:dyDescent="0.25">
      <c r="A252" s="111" t="s">
        <v>129</v>
      </c>
      <c r="B252" s="78" t="s">
        <v>314</v>
      </c>
      <c r="C252" s="7"/>
      <c r="D252" s="7"/>
      <c r="E252" s="7"/>
      <c r="F252" s="7"/>
      <c r="G252" s="7"/>
      <c r="H252" s="7"/>
      <c r="I252" s="25"/>
    </row>
    <row r="253" spans="1:9" x14ac:dyDescent="0.25">
      <c r="A253" s="111"/>
      <c r="B253" s="78"/>
      <c r="C253" s="7"/>
      <c r="D253" s="7"/>
      <c r="E253" s="7"/>
      <c r="F253" s="7"/>
      <c r="G253" s="7"/>
      <c r="H253" s="7"/>
      <c r="I253" s="25"/>
    </row>
    <row r="254" spans="1:9" x14ac:dyDescent="0.25">
      <c r="A254" s="111" t="s">
        <v>184</v>
      </c>
      <c r="B254" s="360" t="str">
        <f>CHOOSE(MODE, ROUND('Calculations - Single'!$BY$105,1)&amp;"%", ROUND('Calculations - Dual'!BY105,1)&amp;"%")</f>
        <v>88,4%</v>
      </c>
      <c r="C254" s="7"/>
      <c r="D254" s="7"/>
      <c r="E254" s="7"/>
      <c r="F254" s="7"/>
      <c r="G254" s="7"/>
      <c r="H254" s="7"/>
      <c r="I254" s="25"/>
    </row>
    <row r="255" spans="1:9" x14ac:dyDescent="0.25">
      <c r="A255" s="111" t="s">
        <v>507</v>
      </c>
      <c r="B255" s="360" t="str">
        <f>ROUND('Calculations - Single'!$BY$55,1)&amp;"%"</f>
        <v>81,8%</v>
      </c>
      <c r="C255" s="7"/>
      <c r="D255" s="7"/>
      <c r="E255" s="7"/>
      <c r="F255" s="7"/>
      <c r="G255" s="7"/>
      <c r="H255" s="7"/>
      <c r="I255" s="25"/>
    </row>
    <row r="256" spans="1:9" x14ac:dyDescent="0.25">
      <c r="A256" s="111" t="s">
        <v>311</v>
      </c>
      <c r="B256" s="360" t="str">
        <f>ROUND('Calculations - Single'!$BY$15,1)&amp;"%"</f>
        <v>73,6%</v>
      </c>
      <c r="C256" s="78" t="s">
        <v>316</v>
      </c>
      <c r="D256" s="7"/>
      <c r="E256" s="7"/>
      <c r="F256" s="7"/>
      <c r="G256" s="7"/>
      <c r="H256" s="7"/>
      <c r="I256" s="25"/>
    </row>
    <row r="257" spans="1:9" x14ac:dyDescent="0.25">
      <c r="A257" s="111" t="s">
        <v>315</v>
      </c>
      <c r="B257" s="360" t="str">
        <f>ROUND(Parameters!BZ56,1)&amp;"%"</f>
        <v>0%</v>
      </c>
      <c r="C257" s="78" t="s">
        <v>317</v>
      </c>
      <c r="D257" s="7"/>
      <c r="E257" s="7"/>
      <c r="F257" s="7"/>
      <c r="G257" s="7"/>
      <c r="H257" s="7"/>
      <c r="I257" s="25"/>
    </row>
    <row r="258" spans="1:9" x14ac:dyDescent="0.25">
      <c r="A258" s="24"/>
      <c r="B258" s="7"/>
      <c r="C258" s="40"/>
      <c r="D258" s="7"/>
      <c r="E258" s="7"/>
      <c r="F258" s="7"/>
      <c r="G258" s="7"/>
      <c r="H258" s="7"/>
      <c r="I258" s="25"/>
    </row>
    <row r="259" spans="1:9" x14ac:dyDescent="0.25">
      <c r="A259" s="24"/>
      <c r="B259" s="7"/>
      <c r="C259" s="40"/>
      <c r="D259" s="7"/>
      <c r="E259" s="7"/>
      <c r="F259" s="7"/>
      <c r="G259" s="7"/>
      <c r="H259" s="7"/>
      <c r="I259" s="25"/>
    </row>
    <row r="260" spans="1:9" x14ac:dyDescent="0.25">
      <c r="A260" s="24"/>
      <c r="B260" s="7"/>
      <c r="C260" s="40"/>
      <c r="D260" s="7"/>
      <c r="E260" s="7"/>
      <c r="F260" s="7"/>
      <c r="G260" s="7"/>
      <c r="H260" s="7"/>
      <c r="I260" s="25"/>
    </row>
    <row r="261" spans="1:9" x14ac:dyDescent="0.25">
      <c r="A261" s="24" t="s">
        <v>80</v>
      </c>
      <c r="B261" s="7" t="str">
        <f>IF(C261="y","","|")</f>
        <v>|</v>
      </c>
      <c r="C261" s="40" t="s">
        <v>323</v>
      </c>
      <c r="D261" s="7"/>
      <c r="E261" s="7"/>
      <c r="F261" s="7"/>
      <c r="G261" s="7"/>
      <c r="H261" s="7"/>
      <c r="I261" s="25"/>
    </row>
    <row r="262" spans="1:9" x14ac:dyDescent="0.25">
      <c r="A262" s="24"/>
      <c r="B262" s="7"/>
      <c r="C262" s="40"/>
      <c r="D262" s="7"/>
      <c r="E262" s="7"/>
      <c r="F262" s="7"/>
      <c r="G262" s="7"/>
      <c r="H262" s="7"/>
      <c r="I262" s="25"/>
    </row>
    <row r="263" spans="1:9" x14ac:dyDescent="0.25">
      <c r="A263" s="512" t="s">
        <v>86</v>
      </c>
      <c r="B263" s="7" t="str">
        <f>'Design Converter'!$E$11&amp;"A"</f>
        <v>0,1A</v>
      </c>
      <c r="C263" s="40"/>
      <c r="D263" s="7"/>
      <c r="E263" s="7"/>
      <c r="F263" s="7"/>
      <c r="G263" s="7"/>
      <c r="H263" s="7"/>
      <c r="I263" s="25"/>
    </row>
    <row r="264" spans="1:9" x14ac:dyDescent="0.25">
      <c r="A264" s="512" t="s">
        <v>526</v>
      </c>
      <c r="B264" s="7" t="str">
        <f>IF(MODE_TOP="DUAL", 'Design Converter'!$E$13&amp;"A", "")</f>
        <v/>
      </c>
      <c r="C264" s="40"/>
      <c r="D264" s="78">
        <f>MODE</f>
        <v>2</v>
      </c>
      <c r="E264" s="7"/>
      <c r="F264" s="7"/>
      <c r="G264" s="7"/>
      <c r="H264" s="7"/>
      <c r="I264" s="25"/>
    </row>
    <row r="265" spans="1:9" x14ac:dyDescent="0.25">
      <c r="A265" s="512" t="s">
        <v>525</v>
      </c>
      <c r="B265" s="7" t="str">
        <f>IF(MODE_TOP="BIPOLAR", Iout2_actual&amp;"A", "")</f>
        <v>-0,1A</v>
      </c>
      <c r="C265" s="40"/>
      <c r="D265" s="7"/>
      <c r="E265" s="7"/>
      <c r="F265" s="7"/>
      <c r="G265" s="7"/>
      <c r="H265" s="7"/>
      <c r="I265" s="25"/>
    </row>
    <row r="266" spans="1:9" x14ac:dyDescent="0.25">
      <c r="A266" s="24"/>
      <c r="B266" s="7"/>
      <c r="C266" s="40"/>
      <c r="D266" s="7"/>
      <c r="E266" s="7"/>
      <c r="F266" s="7"/>
      <c r="G266" s="7"/>
      <c r="H266" s="7"/>
      <c r="I266" s="25"/>
    </row>
    <row r="267" spans="1:9" x14ac:dyDescent="0.25">
      <c r="A267" s="111" t="s">
        <v>94</v>
      </c>
      <c r="B267" s="7">
        <v>1</v>
      </c>
      <c r="C267" s="40"/>
      <c r="D267" s="7"/>
      <c r="E267" s="7"/>
      <c r="F267" s="7"/>
      <c r="G267" s="7"/>
      <c r="H267" s="7"/>
      <c r="I267" s="25"/>
    </row>
    <row r="268" spans="1:9" x14ac:dyDescent="0.25">
      <c r="A268" s="111" t="s">
        <v>93</v>
      </c>
      <c r="B268" s="7">
        <v>2</v>
      </c>
      <c r="C268" s="40"/>
      <c r="D268" s="7"/>
      <c r="E268" s="7"/>
      <c r="F268" s="7"/>
      <c r="G268" s="7"/>
      <c r="H268" s="7"/>
      <c r="I268" s="25"/>
    </row>
    <row r="269" spans="1:9" x14ac:dyDescent="0.25">
      <c r="A269" s="615" t="s">
        <v>57</v>
      </c>
      <c r="B269" s="7">
        <v>3</v>
      </c>
      <c r="C269" s="40"/>
      <c r="D269" s="7"/>
      <c r="E269" s="7"/>
      <c r="F269" s="7"/>
      <c r="G269" s="7"/>
      <c r="H269" s="7"/>
      <c r="I269" s="25"/>
    </row>
    <row r="270" spans="1:9" x14ac:dyDescent="0.25">
      <c r="A270" s="111" t="s">
        <v>576</v>
      </c>
      <c r="B270" s="7">
        <v>4</v>
      </c>
      <c r="C270" s="40"/>
      <c r="D270" s="7"/>
      <c r="E270" s="7"/>
      <c r="F270" s="7"/>
      <c r="G270" s="7"/>
      <c r="H270" s="7"/>
      <c r="I270" s="25"/>
    </row>
    <row r="271" spans="1:9" x14ac:dyDescent="0.25">
      <c r="A271" s="111" t="s">
        <v>577</v>
      </c>
      <c r="B271" s="7">
        <v>5</v>
      </c>
      <c r="C271" s="40"/>
      <c r="D271" s="7"/>
      <c r="E271" s="7"/>
      <c r="F271" s="7"/>
      <c r="G271" s="7"/>
      <c r="H271" s="7"/>
      <c r="I271" s="25"/>
    </row>
    <row r="272" spans="1:9" x14ac:dyDescent="0.25">
      <c r="A272" s="111" t="s">
        <v>578</v>
      </c>
      <c r="B272" s="7">
        <v>6</v>
      </c>
      <c r="C272" s="40"/>
      <c r="D272" s="7"/>
      <c r="E272" s="7"/>
      <c r="F272" s="7"/>
      <c r="G272" s="7"/>
      <c r="H272" s="7"/>
      <c r="I272" s="25"/>
    </row>
    <row r="273" spans="1:9" x14ac:dyDescent="0.25">
      <c r="A273" s="111" t="s">
        <v>579</v>
      </c>
      <c r="B273" s="7">
        <v>7</v>
      </c>
      <c r="C273" s="40"/>
      <c r="D273" s="7"/>
      <c r="E273" s="7"/>
      <c r="F273" s="7"/>
      <c r="G273" s="7"/>
      <c r="H273" s="7"/>
      <c r="I273" s="25"/>
    </row>
    <row r="274" spans="1:9" x14ac:dyDescent="0.25">
      <c r="A274" s="615" t="s">
        <v>92</v>
      </c>
      <c r="B274" s="7">
        <v>8</v>
      </c>
      <c r="C274" s="40"/>
      <c r="D274" s="7"/>
      <c r="E274" s="7"/>
      <c r="F274" s="7"/>
      <c r="G274" s="7"/>
      <c r="H274" s="7"/>
      <c r="I274" s="25"/>
    </row>
    <row r="275" spans="1:9" ht="13.8" thickBot="1" x14ac:dyDescent="0.3">
      <c r="A275" s="214"/>
      <c r="B275" s="29"/>
      <c r="C275" s="166"/>
      <c r="D275" s="29"/>
      <c r="E275" s="29"/>
      <c r="F275" s="29"/>
      <c r="G275" s="29"/>
      <c r="H275" s="29"/>
      <c r="I275" s="30"/>
    </row>
  </sheetData>
  <sheetProtection selectLockedCells="1"/>
  <mergeCells count="2">
    <mergeCell ref="E5:H5"/>
    <mergeCell ref="A1:I1"/>
  </mergeCells>
  <phoneticPr fontId="6" type="noConversion"/>
  <pageMargins left="0.75" right="0.75" top="1" bottom="1" header="0.5" footer="0.5"/>
  <pageSetup orientation="portrait" r:id="rId1"/>
  <headerFooter alignWithMargins="0"/>
  <ignoredErrors>
    <ignoredError sqref="R56:R60"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locked="0" defaultSize="0" autoLine="0" autoPict="0">
                <anchor moveWithCells="1">
                  <from>
                    <xdr:col>9</xdr:col>
                    <xdr:colOff>449580</xdr:colOff>
                    <xdr:row>6</xdr:row>
                    <xdr:rowOff>22860</xdr:rowOff>
                  </from>
                  <to>
                    <xdr:col>10</xdr:col>
                    <xdr:colOff>670560</xdr:colOff>
                    <xdr:row>7</xdr:row>
                    <xdr:rowOff>99060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7030A0"/>
  </sheetPr>
  <dimension ref="B1:CE321"/>
  <sheetViews>
    <sheetView zoomScaleNormal="100" workbookViewId="0">
      <pane xSplit="6" ySplit="4" topLeftCell="G74" activePane="bottomRight" state="frozen"/>
      <selection pane="topRight" activeCell="G1" sqref="G1"/>
      <selection pane="bottomLeft" activeCell="A5" sqref="A5"/>
      <selection pane="bottomRight" activeCell="O110" sqref="O110"/>
    </sheetView>
  </sheetViews>
  <sheetFormatPr defaultRowHeight="13.2" x14ac:dyDescent="0.25"/>
  <cols>
    <col min="1" max="1" width="2.88671875" customWidth="1"/>
    <col min="2" max="2" width="3.5546875" customWidth="1"/>
    <col min="3" max="3" width="2.88671875" customWidth="1"/>
    <col min="4" max="4" width="3.6640625" customWidth="1"/>
    <col min="5" max="5" width="6.109375" customWidth="1"/>
    <col min="6" max="7" width="7.6640625" customWidth="1"/>
    <col min="8" max="8" width="7.88671875" customWidth="1"/>
    <col min="9" max="9" width="6.33203125" customWidth="1"/>
    <col min="10" max="10" width="9.5546875" customWidth="1"/>
    <col min="11" max="11" width="9.33203125" customWidth="1"/>
    <col min="12" max="12" width="1.88671875" customWidth="1"/>
    <col min="13" max="13" width="8.44140625" customWidth="1"/>
    <col min="14" max="15" width="9.5546875" customWidth="1"/>
    <col min="16" max="16" width="8.88671875" customWidth="1"/>
    <col min="17" max="18" width="8.5546875" customWidth="1"/>
    <col min="19" max="19" width="11.109375" customWidth="1"/>
    <col min="20" max="20" width="10.44140625" customWidth="1"/>
    <col min="21" max="21" width="7.5546875" customWidth="1"/>
    <col min="22" max="22" width="9" customWidth="1"/>
    <col min="23" max="23" width="8.88671875" customWidth="1"/>
    <col min="24" max="24" width="10" customWidth="1"/>
    <col min="25" max="25" width="9.5546875" customWidth="1"/>
    <col min="26" max="26" width="1.88671875" customWidth="1"/>
    <col min="27" max="27" width="9.88671875" customWidth="1"/>
    <col min="28" max="28" width="10.44140625" customWidth="1"/>
    <col min="29" max="29" width="10.109375" customWidth="1"/>
    <col min="30" max="30" width="2" customWidth="1"/>
    <col min="31" max="31" width="9.109375" customWidth="1"/>
    <col min="32" max="32" width="9.44140625" customWidth="1"/>
    <col min="33" max="33" width="10.44140625" customWidth="1"/>
    <col min="34" max="34" width="2.109375" customWidth="1"/>
    <col min="36" max="36" width="8" customWidth="1"/>
    <col min="38" max="38" width="2.33203125" customWidth="1"/>
    <col min="39" max="39" width="6.5546875" customWidth="1"/>
    <col min="40" max="40" width="7.5546875" customWidth="1"/>
    <col min="41" max="41" width="2" customWidth="1"/>
    <col min="42" max="42" width="6.44140625" customWidth="1"/>
    <col min="43" max="43" width="7.5546875" customWidth="1"/>
    <col min="44" max="44" width="2.109375" customWidth="1"/>
    <col min="45" max="48" width="7" customWidth="1"/>
    <col min="49" max="50" width="8.44140625" customWidth="1"/>
    <col min="51" max="52" width="11" customWidth="1"/>
    <col min="53" max="53" width="9.44140625" customWidth="1"/>
    <col min="54" max="54" width="9.88671875" customWidth="1"/>
    <col min="55" max="55" width="2" customWidth="1"/>
    <col min="58" max="58" width="2.109375" customWidth="1"/>
    <col min="59" max="59" width="9" customWidth="1"/>
    <col min="60" max="61" width="8.109375" customWidth="1"/>
    <col min="62" max="62" width="8.6640625" customWidth="1"/>
    <col min="63" max="64" width="7.5546875" customWidth="1"/>
    <col min="65" max="66" width="10.33203125" customWidth="1"/>
    <col min="67" max="68" width="10.5546875" customWidth="1"/>
    <col min="69" max="69" width="8.6640625" customWidth="1"/>
    <col min="71" max="71" width="9.88671875" customWidth="1"/>
    <col min="72" max="72" width="12.109375" customWidth="1"/>
    <col min="73" max="73" width="9.109375" customWidth="1"/>
    <col min="75" max="75" width="7.6640625" customWidth="1"/>
    <col min="76" max="76" width="10.44140625" customWidth="1"/>
    <col min="77" max="77" width="12.44140625" bestFit="1" customWidth="1"/>
    <col min="78" max="78" width="4.5546875" customWidth="1"/>
    <col min="79" max="79" width="5" customWidth="1"/>
    <col min="80" max="80" width="9.5546875" customWidth="1"/>
  </cols>
  <sheetData>
    <row r="1" spans="2:81" x14ac:dyDescent="0.25">
      <c r="B1" s="457" t="s">
        <v>532</v>
      </c>
      <c r="M1">
        <f>Vfwd2</f>
        <v>0.35</v>
      </c>
    </row>
    <row r="2" spans="2:81" ht="13.8" thickBot="1" x14ac:dyDescent="0.3">
      <c r="M2">
        <f>Vfwd1</f>
        <v>0.25</v>
      </c>
      <c r="U2">
        <f>Isw_max</f>
        <v>1.45</v>
      </c>
    </row>
    <row r="3" spans="2:81" x14ac:dyDescent="0.25">
      <c r="E3" s="227" t="s">
        <v>434</v>
      </c>
      <c r="F3" s="559"/>
      <c r="G3" s="559"/>
      <c r="H3" s="559"/>
      <c r="I3" s="228"/>
      <c r="J3" s="229"/>
      <c r="K3" s="543"/>
      <c r="L3" s="543"/>
      <c r="M3" s="687" t="s">
        <v>190</v>
      </c>
      <c r="N3" s="688"/>
      <c r="O3" s="689"/>
      <c r="P3" s="687"/>
      <c r="Q3" s="687"/>
      <c r="R3" s="689"/>
      <c r="S3" s="689"/>
      <c r="T3" s="689"/>
      <c r="U3" s="687"/>
      <c r="V3" s="688"/>
      <c r="W3" s="688"/>
      <c r="X3" s="687"/>
      <c r="Y3" s="688"/>
      <c r="Z3" s="687"/>
      <c r="AA3" s="690"/>
      <c r="AB3" s="552"/>
      <c r="AC3" s="552"/>
      <c r="AD3" s="552"/>
      <c r="AE3" s="552"/>
      <c r="AF3" s="552"/>
      <c r="AG3" s="552"/>
      <c r="AH3" s="552"/>
      <c r="AI3" s="552"/>
      <c r="AJ3" s="552"/>
      <c r="AK3" s="552"/>
      <c r="AL3" s="552"/>
      <c r="AM3" s="552"/>
      <c r="AN3" s="552"/>
      <c r="AO3" s="552"/>
      <c r="AP3" s="552"/>
      <c r="AQ3" s="552"/>
      <c r="AR3" s="552"/>
      <c r="AS3" s="552" t="s">
        <v>473</v>
      </c>
      <c r="AT3" s="552"/>
      <c r="AU3" s="552"/>
      <c r="AV3" s="552"/>
      <c r="AW3" s="552"/>
      <c r="AX3" s="552"/>
      <c r="AY3" s="552"/>
      <c r="AZ3" s="552"/>
      <c r="BA3" s="552" t="s">
        <v>483</v>
      </c>
      <c r="BB3" s="552"/>
      <c r="BC3" s="552"/>
      <c r="BD3" s="578" t="s">
        <v>484</v>
      </c>
      <c r="BE3" s="552"/>
      <c r="BF3" s="552"/>
      <c r="BG3" s="578" t="s">
        <v>508</v>
      </c>
      <c r="BH3" s="552"/>
      <c r="BI3" s="552"/>
      <c r="BJ3" s="552"/>
      <c r="BK3" s="552"/>
      <c r="BL3" s="552"/>
      <c r="BM3" s="578" t="s">
        <v>504</v>
      </c>
      <c r="BN3" s="552"/>
      <c r="BO3" s="552"/>
      <c r="BP3" s="552"/>
      <c r="BQ3" s="579" t="s">
        <v>505</v>
      </c>
      <c r="BR3" s="552"/>
      <c r="BS3" s="552"/>
      <c r="BT3" s="552"/>
      <c r="BU3" s="552"/>
      <c r="BV3" s="578"/>
      <c r="BW3" s="552"/>
      <c r="BX3" s="552"/>
      <c r="BY3" s="552"/>
      <c r="BZ3" s="552"/>
    </row>
    <row r="4" spans="2:81" ht="45" customHeight="1" thickBot="1" x14ac:dyDescent="0.3">
      <c r="E4" s="248" t="s">
        <v>25</v>
      </c>
      <c r="F4" s="456" t="s">
        <v>195</v>
      </c>
      <c r="G4" s="267"/>
      <c r="H4" s="546" t="s">
        <v>224</v>
      </c>
      <c r="I4" s="249" t="s">
        <v>425</v>
      </c>
      <c r="J4" s="250" t="s">
        <v>431</v>
      </c>
      <c r="K4" s="546" t="s">
        <v>426</v>
      </c>
      <c r="L4" s="546"/>
      <c r="M4" s="251" t="s">
        <v>48</v>
      </c>
      <c r="N4" s="546" t="s">
        <v>415</v>
      </c>
      <c r="O4" s="546" t="s">
        <v>687</v>
      </c>
      <c r="P4" s="546" t="s">
        <v>416</v>
      </c>
      <c r="Q4" s="546" t="s">
        <v>446</v>
      </c>
      <c r="R4" s="546" t="s">
        <v>685</v>
      </c>
      <c r="S4" s="546" t="s">
        <v>688</v>
      </c>
      <c r="T4" s="546" t="s">
        <v>686</v>
      </c>
      <c r="U4" s="546" t="s">
        <v>427</v>
      </c>
      <c r="V4" s="546" t="s">
        <v>479</v>
      </c>
      <c r="W4" s="546" t="s">
        <v>478</v>
      </c>
      <c r="X4" s="566" t="s">
        <v>433</v>
      </c>
      <c r="Y4" s="561" t="s">
        <v>438</v>
      </c>
      <c r="AA4" s="252" t="s">
        <v>430</v>
      </c>
      <c r="AB4" s="252" t="s">
        <v>477</v>
      </c>
      <c r="AC4" s="252" t="s">
        <v>436</v>
      </c>
      <c r="AD4" s="563"/>
      <c r="AE4" s="252" t="s">
        <v>476</v>
      </c>
      <c r="AF4" s="252" t="s">
        <v>439</v>
      </c>
      <c r="AG4" s="252" t="s">
        <v>440</v>
      </c>
      <c r="AH4" s="563"/>
      <c r="AI4" s="252" t="s">
        <v>442</v>
      </c>
      <c r="AJ4" s="567" t="s">
        <v>443</v>
      </c>
      <c r="AK4" s="567" t="s">
        <v>444</v>
      </c>
      <c r="AM4" s="562" t="s">
        <v>276</v>
      </c>
      <c r="AN4" s="562" t="s">
        <v>445</v>
      </c>
      <c r="AP4" s="252" t="s">
        <v>276</v>
      </c>
      <c r="AQ4" s="252" t="s">
        <v>445</v>
      </c>
      <c r="AR4" s="568"/>
      <c r="AS4" s="252" t="s">
        <v>480</v>
      </c>
      <c r="AT4" s="252" t="s">
        <v>474</v>
      </c>
      <c r="AU4" s="252" t="s">
        <v>475</v>
      </c>
      <c r="AV4" s="252" t="s">
        <v>684</v>
      </c>
      <c r="AW4" s="252" t="s">
        <v>48</v>
      </c>
      <c r="AX4" s="568" t="s">
        <v>682</v>
      </c>
      <c r="AY4" s="563" t="s">
        <v>681</v>
      </c>
      <c r="AZ4" s="563" t="s">
        <v>683</v>
      </c>
      <c r="BA4" s="252" t="s">
        <v>495</v>
      </c>
      <c r="BB4" s="252" t="s">
        <v>531</v>
      </c>
      <c r="BC4" s="563"/>
      <c r="BD4" s="577" t="s">
        <v>469</v>
      </c>
      <c r="BE4" s="252" t="s">
        <v>470</v>
      </c>
      <c r="BF4" s="563"/>
      <c r="BG4" s="577" t="s">
        <v>487</v>
      </c>
      <c r="BH4" s="252" t="s">
        <v>488</v>
      </c>
      <c r="BI4" s="252" t="s">
        <v>486</v>
      </c>
      <c r="BJ4" s="252" t="s">
        <v>482</v>
      </c>
      <c r="BK4" s="252" t="s">
        <v>491</v>
      </c>
      <c r="BL4" s="252" t="s">
        <v>506</v>
      </c>
      <c r="BM4" s="577" t="s">
        <v>489</v>
      </c>
      <c r="BN4" s="252" t="s">
        <v>490</v>
      </c>
      <c r="BO4" s="252" t="s">
        <v>498</v>
      </c>
      <c r="BP4" s="252" t="s">
        <v>502</v>
      </c>
      <c r="BQ4" s="577" t="s">
        <v>471</v>
      </c>
      <c r="BR4" s="252" t="s">
        <v>472</v>
      </c>
      <c r="BS4" s="252" t="s">
        <v>481</v>
      </c>
      <c r="BT4" s="252" t="s">
        <v>499</v>
      </c>
      <c r="BU4" s="252" t="s">
        <v>501</v>
      </c>
      <c r="BV4" s="577" t="s">
        <v>497</v>
      </c>
      <c r="BW4" s="252" t="s">
        <v>224</v>
      </c>
      <c r="BX4" s="252" t="s">
        <v>47</v>
      </c>
      <c r="BY4" s="252" t="s">
        <v>500</v>
      </c>
      <c r="BZ4" s="252"/>
      <c r="CB4" s="590" t="s">
        <v>698</v>
      </c>
      <c r="CC4" s="590" t="s">
        <v>699</v>
      </c>
    </row>
    <row r="5" spans="2:81" x14ac:dyDescent="0.25">
      <c r="E5" s="177">
        <v>0.1</v>
      </c>
      <c r="F5" s="224">
        <v>1.0000000000000001E-9</v>
      </c>
      <c r="G5" s="224"/>
      <c r="H5" s="224">
        <f t="shared" ref="H5:H36" si="0">F5*Vout</f>
        <v>6.3000000000000002E-9</v>
      </c>
      <c r="I5" s="560">
        <f t="shared" ref="I5:I36" si="1">Vin</f>
        <v>24</v>
      </c>
      <c r="J5" s="179">
        <f t="shared" ref="J5:J36" si="2">(T5+Vfwd1)*Nps</f>
        <v>13.1</v>
      </c>
      <c r="K5" s="455">
        <f t="shared" ref="K5:K36" si="3">(Vout+Vfwd1)*Nps+I5</f>
        <v>37.1</v>
      </c>
      <c r="L5" s="455"/>
      <c r="M5" s="224">
        <f t="shared" ref="M5:M36" si="4">(Vout+Vfwd1)*Nps/((Vout+Vfwd1)*Nps+I5)</f>
        <v>0.35309973045822102</v>
      </c>
      <c r="N5" s="179">
        <f t="shared" ref="N5:N68" si="5">M5*I5*Isw_max*0.5*Efficiency</f>
        <v>5.5295417789757408</v>
      </c>
      <c r="O5" s="179">
        <f>T5*F5</f>
        <v>6.3000000000000002E-9</v>
      </c>
      <c r="P5" s="224">
        <f t="shared" ref="P5:P36" si="6">N5/Vout</f>
        <v>0.87770504428186369</v>
      </c>
      <c r="Q5" s="224">
        <f t="shared" ref="Q5:Q36" si="7">MIN(Vout,N5/F5)</f>
        <v>6.3</v>
      </c>
      <c r="R5" s="224">
        <f t="shared" ref="R5:R36" si="8">Isw_max/2*I5*Nps*(Q5+Vfwd1)/Q5/(I5+Nps*(Q5+Vfwd1))</f>
        <v>0.97522782697984844</v>
      </c>
      <c r="S5" s="179">
        <f t="shared" ref="S5:S36" si="9">(SQRT(Isw_max^2*Nps^2*I5^2+4*Isw_max*F5/Efficiency*(Nps^2*Vfwd1*I5-Nps*I5^2)+4*(F5/Efficiency)^2*Nps^2*Vfwd1^2+8*(F5/Efficiency)^2*Nps*Vfwd1*I5+4*(F5/Efficiency)^2*I5^2)-2*F5/Efficiency*I5-2*F5/Efficiency*Nps*Vfwd1+Isw_max*Nps*I5)/(4*F5/Efficiency*Nps)</f>
        <v>15659999987.999998</v>
      </c>
      <c r="T5" s="179">
        <f t="shared" ref="T5:T36" si="10">MIN(Vout, S5)</f>
        <v>6.3</v>
      </c>
      <c r="U5" s="224">
        <f t="shared" ref="U5:U36" si="11">MIN(2*Vout*F5/(Efficiency*I5*M5), Isw_max)</f>
        <v>1.6520356234096692E-9</v>
      </c>
      <c r="V5" s="224">
        <f t="shared" ref="V5:V36" si="12">L*U5/I5*1000000</f>
        <v>3.7859149703138255E-9</v>
      </c>
      <c r="W5" s="224">
        <f t="shared" ref="W5:W36" si="13">L*U5/J5*1000000</f>
        <v>6.936027426529146E-9</v>
      </c>
      <c r="X5" s="204">
        <f t="shared" ref="X5:X36" si="14">IF(1/((350000*L)*(1/I5+1/J5))&gt;Isw_min, 350, 0.001/((Isw_min*L)*(1/I5+1/J5)))</f>
        <v>350</v>
      </c>
      <c r="Y5" s="455">
        <f>MIN(1/(V5+W5)*1000, 350)</f>
        <v>350</v>
      </c>
      <c r="AA5" s="224">
        <f t="shared" ref="AA5:AA36" si="15">1/((X5*1000*L)*(1/I5+1/J5))</f>
        <v>0.44022823537648331</v>
      </c>
      <c r="AB5" s="180">
        <f t="shared" ref="AB5:AB36" si="16">L*AA5/J5*1000000</f>
        <v>1.8482864844050828</v>
      </c>
      <c r="AC5" s="180">
        <f t="shared" ref="AC5:AC36" si="17">0.5*AB5*AA5*Nps*X5/1000</f>
        <v>0.28478376412494877</v>
      </c>
      <c r="AD5" s="180"/>
      <c r="AE5" s="180">
        <f t="shared" ref="AE5:AE36" si="18">L*Isw_min/J5*1000000</f>
        <v>1.217557251908397</v>
      </c>
      <c r="AF5" s="564">
        <f>MAX(10, F5/(0.5*AE5/1000000*Isw_min*Nps)/1000)</f>
        <v>10</v>
      </c>
      <c r="AG5" s="547">
        <f t="shared" ref="AG5:AG36" si="19">0.5*AE5/1000000*Isw_min*Nps*X5*1000</f>
        <v>0.1235820610687023</v>
      </c>
      <c r="AI5" s="180">
        <f t="shared" ref="AI5:AI36" si="20">SQRT(F5/Efficiency/(0.5*L/J5*Fsw_DCM*Nps))</f>
        <v>2.7497868210695098E-5</v>
      </c>
      <c r="AJ5" s="180">
        <f t="shared" ref="AJ5:AJ36" si="21">MAX(IF(F5&gt;AC5,U5,AI5),Isw_min)</f>
        <v>0.28999999999999998</v>
      </c>
      <c r="AK5" s="180">
        <f t="shared" ref="AK5:AK36" si="22">IF(F5&gt;AG5, (AJ5-Isw_min)/1.08*0.8+1.2, AF5*0.2/350+1)</f>
        <v>1.0057142857142858</v>
      </c>
      <c r="AM5" s="564">
        <f t="shared" ref="AM5:AM36" si="23">F5*1000</f>
        <v>1.0000000000000002E-6</v>
      </c>
      <c r="AN5" s="473">
        <f t="shared" ref="AN5:AN36" si="24">IF(F5&gt;AG5, Y5, AF5)</f>
        <v>10</v>
      </c>
      <c r="AP5">
        <f t="shared" ref="AP5:AP36" si="25">IF(H5&gt;N5, "",AM5)</f>
        <v>1.0000000000000002E-6</v>
      </c>
      <c r="AQ5" s="473">
        <f t="shared" ref="AQ5:AQ36" si="26">IF(H5&gt;N5, "",AN5)</f>
        <v>10</v>
      </c>
      <c r="AR5" s="473"/>
      <c r="AS5" s="5">
        <f>1/AN5*1000</f>
        <v>100</v>
      </c>
      <c r="AT5" s="5">
        <f t="shared" ref="AT5:AT36" si="27">L*AJ5/I5*1000000</f>
        <v>0.6645833333333333</v>
      </c>
      <c r="AU5" s="5">
        <f>AS5-AT5</f>
        <v>99.33541666666666</v>
      </c>
      <c r="AV5" s="5">
        <f t="shared" ref="AV5:AV36" si="28">L*AJ5/J5*1000000</f>
        <v>1.217557251908397</v>
      </c>
      <c r="AW5" s="180">
        <f>AT5/AS5</f>
        <v>6.6458333333333335E-3</v>
      </c>
      <c r="AX5" s="180">
        <f t="shared" ref="AX5:AX36" si="29">0.5*L*AJ5^2*AN5*1000</f>
        <v>2.3127499999999999E-2</v>
      </c>
      <c r="AY5" s="180">
        <f t="shared" ref="AY5:AY36" si="30">AJ5*Nps/2*(1-AW5)</f>
        <v>0.28807270833333332</v>
      </c>
      <c r="AZ5" s="180">
        <f>AX5/AY5</f>
        <v>8.0283551100018877E-2</v>
      </c>
      <c r="BA5" s="473">
        <f t="shared" ref="BA5:BA36" si="31">F5*AT5/Vout_ripple*1000</f>
        <v>1.05489417989418E-8</v>
      </c>
      <c r="BB5" s="5">
        <f t="shared" ref="BB5:BB36" si="32">H5/Efficiency/I5*AU5/Vinripple1</f>
        <v>2.4144024884259253E-8</v>
      </c>
      <c r="BC5" s="5"/>
      <c r="BD5" s="180">
        <f>AJ5*SQRT(AW5/3)</f>
        <v>1.3649353871561506E-2</v>
      </c>
      <c r="BE5" s="180">
        <f t="shared" ref="BE5:BE36" si="33">AJ5*Nps*SQRT((1-AW5)/3)</f>
        <v>0.33374857885673292</v>
      </c>
      <c r="BF5" s="180"/>
      <c r="BG5" s="547">
        <f t="shared" ref="BG5:BG36" si="34">Rdson*BD5^2</f>
        <v>6.5206701388888875E-5</v>
      </c>
      <c r="BH5" s="547">
        <f t="shared" ref="BH5:BH36" si="35">0.5*K5*AJ5*AN5*1000*Trise</f>
        <v>1.0759000000000001E-3</v>
      </c>
      <c r="BI5" s="547">
        <f t="shared" ref="BI5:BI36" si="36">Qg*Vdd*AN5*1000</f>
        <v>1.25E-4</v>
      </c>
      <c r="BJ5" s="547">
        <f t="shared" ref="BJ5:BJ36" si="37">0.5*(Coss+Csw)*K5^2*AN5*1000</f>
        <v>7.9143575000000009E-4</v>
      </c>
      <c r="BK5">
        <f t="shared" ref="BK5:BK36" si="38">I5*IQ</f>
        <v>6.96E-3</v>
      </c>
      <c r="BL5" s="473">
        <f>SUM(BG5:BK5)*1000</f>
        <v>9.0175424513888895</v>
      </c>
      <c r="BM5" s="547">
        <f>Vfwd2*F5</f>
        <v>3.4999999999999998E-10</v>
      </c>
      <c r="BN5" s="547"/>
      <c r="BP5" s="473">
        <f>SUM(BM5:BO5)*1000</f>
        <v>3.4999999999999998E-7</v>
      </c>
      <c r="BQ5" s="547">
        <f t="shared" ref="BQ5:BQ36" si="39">Rdcr_pri*BD5^2</f>
        <v>2.0493534722222218E-5</v>
      </c>
      <c r="BR5" s="547">
        <f t="shared" ref="BR5:BR36" si="40">Rdcr_sec*BE5^2</f>
        <v>3.8985839861111109E-3</v>
      </c>
      <c r="BS5" s="547">
        <f t="shared" ref="BS5:BS36" si="41">AJ5^2.5*AN5^2.5*k_core</f>
        <v>7.1608569668720578E-7</v>
      </c>
      <c r="BT5" s="547">
        <f t="shared" ref="BT5:BT36" si="42">0.5*Lleak*0.000000001*AJ5^2*AN5*1000</f>
        <v>8.4100000000000006E-4</v>
      </c>
      <c r="BU5" s="473">
        <f>SUM(BQ5:BT5)*1000</f>
        <v>4.7607936065300196</v>
      </c>
      <c r="BV5" s="180">
        <f>SUM(BG5:BK5,BM5:BO5,BQ5:BT5)</f>
        <v>1.3778336407918911E-2</v>
      </c>
      <c r="BW5" s="5">
        <f>MIN(H5,O5)</f>
        <v>6.3000000000000002E-9</v>
      </c>
      <c r="BX5" s="180">
        <f>BW5/(BW5+BV5)</f>
        <v>4.5723931633513239E-7</v>
      </c>
      <c r="BY5" s="5">
        <f>BX5*100</f>
        <v>4.5723931633513237E-5</v>
      </c>
      <c r="CB5" s="582">
        <f t="shared" ref="CB5:CB36" si="43">IF(ABS(F5-Ioutmax_Vinnom)&lt;Iout/200, AN5, -50)</f>
        <v>-50</v>
      </c>
      <c r="CC5">
        <f t="shared" ref="CC5:CC36" si="44">IF(ABS(F5-Ioutmax_Vinnom)&lt;Iout/200, N5*BX5, -50)</f>
        <v>-50</v>
      </c>
    </row>
    <row r="6" spans="2:81" x14ac:dyDescent="0.25">
      <c r="E6" s="177">
        <v>1</v>
      </c>
      <c r="F6" s="224">
        <f t="shared" ref="F6:F37" si="45">IF(PLOT_TYPE=1, E6/100*Iout_max, min_I*EXP(N6*rr/100))</f>
        <v>1E-3</v>
      </c>
      <c r="G6" s="224"/>
      <c r="H6" s="224">
        <f t="shared" si="0"/>
        <v>6.3E-3</v>
      </c>
      <c r="I6" s="560">
        <f t="shared" si="1"/>
        <v>24</v>
      </c>
      <c r="J6" s="179">
        <f t="shared" si="2"/>
        <v>13.1</v>
      </c>
      <c r="K6" s="455">
        <f t="shared" si="3"/>
        <v>37.1</v>
      </c>
      <c r="L6" s="455"/>
      <c r="M6" s="224">
        <f t="shared" si="4"/>
        <v>0.35309973045822102</v>
      </c>
      <c r="N6" s="179">
        <f t="shared" si="5"/>
        <v>5.5295417789757408</v>
      </c>
      <c r="O6" s="179">
        <f t="shared" ref="O6:O69" si="46">T6*F6</f>
        <v>6.3E-3</v>
      </c>
      <c r="P6" s="224">
        <f t="shared" si="6"/>
        <v>0.87770504428186369</v>
      </c>
      <c r="Q6" s="224">
        <f t="shared" si="7"/>
        <v>6.3</v>
      </c>
      <c r="R6" s="224">
        <f t="shared" si="8"/>
        <v>0.97522782697984844</v>
      </c>
      <c r="S6" s="179">
        <f t="shared" si="9"/>
        <v>15648.000191714724</v>
      </c>
      <c r="T6" s="179">
        <f t="shared" si="10"/>
        <v>6.3</v>
      </c>
      <c r="U6" s="224">
        <f t="shared" si="11"/>
        <v>1.6520356234096692E-3</v>
      </c>
      <c r="V6" s="224">
        <f t="shared" si="12"/>
        <v>3.7859149703138254E-3</v>
      </c>
      <c r="W6" s="224">
        <f t="shared" si="13"/>
        <v>6.9360274265291462E-3</v>
      </c>
      <c r="X6" s="204">
        <f t="shared" si="14"/>
        <v>350</v>
      </c>
      <c r="Y6" s="455">
        <f t="shared" ref="Y6:Y69" si="47">MIN(1/(V6+W6)*1000, 350)</f>
        <v>350</v>
      </c>
      <c r="AA6" s="224">
        <f t="shared" si="15"/>
        <v>0.44022823537648331</v>
      </c>
      <c r="AB6" s="180">
        <f t="shared" si="16"/>
        <v>1.8482864844050828</v>
      </c>
      <c r="AC6" s="180">
        <f t="shared" si="17"/>
        <v>0.28478376412494877</v>
      </c>
      <c r="AD6" s="180"/>
      <c r="AE6" s="180">
        <f t="shared" si="18"/>
        <v>1.217557251908397</v>
      </c>
      <c r="AF6" s="564">
        <f>MAX(10, F6/(0.5*AE6/1000000*Isw_min*Nps)/1000)</f>
        <v>10</v>
      </c>
      <c r="AG6" s="547">
        <f t="shared" si="19"/>
        <v>0.1235820610687023</v>
      </c>
      <c r="AI6" s="180">
        <f t="shared" si="20"/>
        <v>2.7497868210695098E-2</v>
      </c>
      <c r="AJ6" s="180">
        <f t="shared" si="21"/>
        <v>0.28999999999999998</v>
      </c>
      <c r="AK6" s="180">
        <f t="shared" si="22"/>
        <v>1.0057142857142858</v>
      </c>
      <c r="AM6" s="564">
        <f t="shared" si="23"/>
        <v>1</v>
      </c>
      <c r="AN6" s="473">
        <f t="shared" si="24"/>
        <v>10</v>
      </c>
      <c r="AP6">
        <f t="shared" si="25"/>
        <v>1</v>
      </c>
      <c r="AQ6" s="473">
        <f t="shared" si="26"/>
        <v>10</v>
      </c>
      <c r="AR6" s="473"/>
      <c r="AS6" s="5">
        <f t="shared" ref="AS6:AS69" si="48">1/AN6*1000</f>
        <v>100</v>
      </c>
      <c r="AT6" s="5">
        <f t="shared" si="27"/>
        <v>0.6645833333333333</v>
      </c>
      <c r="AU6" s="5">
        <f t="shared" ref="AU6:AU69" si="49">AS6-AT6</f>
        <v>99.33541666666666</v>
      </c>
      <c r="AV6" s="5">
        <f t="shared" si="28"/>
        <v>1.217557251908397</v>
      </c>
      <c r="AW6" s="180">
        <f t="shared" ref="AW6:AW69" si="50">AT6/AS6</f>
        <v>6.6458333333333335E-3</v>
      </c>
      <c r="AX6" s="180">
        <f t="shared" si="29"/>
        <v>2.3127499999999999E-2</v>
      </c>
      <c r="AY6" s="180">
        <f t="shared" si="30"/>
        <v>0.28807270833333332</v>
      </c>
      <c r="AZ6" s="180">
        <f t="shared" ref="AZ6:AZ69" si="51">AX6/AY6</f>
        <v>8.0283551100018877E-2</v>
      </c>
      <c r="BA6" s="473">
        <f t="shared" si="31"/>
        <v>1.0548941798941799E-2</v>
      </c>
      <c r="BB6" s="5">
        <f t="shared" si="32"/>
        <v>2.4144024884259256E-2</v>
      </c>
      <c r="BC6" s="5"/>
      <c r="BD6" s="180">
        <f t="shared" ref="BD6:BD69" si="52">AJ6*SQRT(AW6/3)</f>
        <v>1.3649353871561506E-2</v>
      </c>
      <c r="BE6" s="180">
        <f t="shared" si="33"/>
        <v>0.33374857885673292</v>
      </c>
      <c r="BF6" s="180"/>
      <c r="BG6" s="547">
        <f t="shared" si="34"/>
        <v>6.5206701388888875E-5</v>
      </c>
      <c r="BH6" s="547">
        <f t="shared" si="35"/>
        <v>1.0759000000000001E-3</v>
      </c>
      <c r="BI6" s="547">
        <f t="shared" si="36"/>
        <v>1.25E-4</v>
      </c>
      <c r="BJ6" s="547">
        <f t="shared" si="37"/>
        <v>7.9143575000000009E-4</v>
      </c>
      <c r="BK6">
        <f t="shared" si="38"/>
        <v>6.96E-3</v>
      </c>
      <c r="BL6" s="473">
        <f t="shared" ref="BL6:BL69" si="53">SUM(BG6:BK6)*1000</f>
        <v>9.0175424513888895</v>
      </c>
      <c r="BM6" s="547">
        <f t="shared" ref="BM6:BM36" si="54">Vfwd2*F6</f>
        <v>3.5E-4</v>
      </c>
      <c r="BN6" s="547"/>
      <c r="BP6" s="473">
        <f t="shared" ref="BP6:BP69" si="55">SUM(BM6:BO6)*1000</f>
        <v>0.35</v>
      </c>
      <c r="BQ6" s="547">
        <f t="shared" si="39"/>
        <v>2.0493534722222218E-5</v>
      </c>
      <c r="BR6" s="547">
        <f t="shared" si="40"/>
        <v>3.8985839861111109E-3</v>
      </c>
      <c r="BS6" s="547">
        <f t="shared" si="41"/>
        <v>7.1608569668720578E-7</v>
      </c>
      <c r="BT6" s="547">
        <f t="shared" si="42"/>
        <v>8.4100000000000006E-4</v>
      </c>
      <c r="BU6" s="473">
        <f t="shared" ref="BU6:BU69" si="56">SUM(BQ6:BT6)*1000</f>
        <v>4.7607936065300196</v>
      </c>
      <c r="BV6" s="180">
        <f t="shared" ref="BV6:BV69" si="57">SUM(BG6:BK6,BM6:BO6,BQ6:BT6)</f>
        <v>1.4128336057918909E-2</v>
      </c>
      <c r="BW6" s="5">
        <f t="shared" ref="BW6:BW69" si="58">MIN(H6,O6)</f>
        <v>6.3E-3</v>
      </c>
      <c r="BX6" s="180">
        <f t="shared" ref="BX6:BX69" si="59">BW6/(BW6+BV6)</f>
        <v>0.3083951616097409</v>
      </c>
      <c r="BY6" s="5">
        <f t="shared" ref="BY6:BY69" si="60">BX6*100</f>
        <v>30.839516160974089</v>
      </c>
      <c r="CB6" s="582">
        <f t="shared" si="43"/>
        <v>-50</v>
      </c>
      <c r="CC6">
        <f t="shared" si="44"/>
        <v>-50</v>
      </c>
    </row>
    <row r="7" spans="2:81" x14ac:dyDescent="0.25">
      <c r="E7" s="177">
        <v>2</v>
      </c>
      <c r="F7" s="224">
        <f t="shared" si="45"/>
        <v>2E-3</v>
      </c>
      <c r="G7" s="224"/>
      <c r="H7" s="224">
        <f t="shared" si="0"/>
        <v>1.26E-2</v>
      </c>
      <c r="I7" s="560">
        <f t="shared" si="1"/>
        <v>24</v>
      </c>
      <c r="J7" s="179">
        <f t="shared" si="2"/>
        <v>13.1</v>
      </c>
      <c r="K7" s="455">
        <f t="shared" si="3"/>
        <v>37.1</v>
      </c>
      <c r="L7" s="455"/>
      <c r="M7" s="224">
        <f t="shared" si="4"/>
        <v>0.35309973045822102</v>
      </c>
      <c r="N7" s="179">
        <f t="shared" si="5"/>
        <v>5.5295417789757408</v>
      </c>
      <c r="O7" s="179">
        <f t="shared" si="46"/>
        <v>1.26E-2</v>
      </c>
      <c r="P7" s="224">
        <f t="shared" si="6"/>
        <v>0.87770504428186369</v>
      </c>
      <c r="Q7" s="224">
        <f t="shared" si="7"/>
        <v>6.3</v>
      </c>
      <c r="R7" s="224">
        <f t="shared" si="8"/>
        <v>0.97522782697984844</v>
      </c>
      <c r="S7" s="179">
        <f t="shared" si="9"/>
        <v>7818.0003837175636</v>
      </c>
      <c r="T7" s="179">
        <f t="shared" si="10"/>
        <v>6.3</v>
      </c>
      <c r="U7" s="224">
        <f t="shared" si="11"/>
        <v>3.3040712468193384E-3</v>
      </c>
      <c r="V7" s="224">
        <f t="shared" si="12"/>
        <v>7.5718299406276508E-3</v>
      </c>
      <c r="W7" s="224">
        <f t="shared" si="13"/>
        <v>1.3872054853058292E-2</v>
      </c>
      <c r="X7" s="204">
        <f t="shared" si="14"/>
        <v>350</v>
      </c>
      <c r="Y7" s="455">
        <f t="shared" si="47"/>
        <v>350</v>
      </c>
      <c r="AA7" s="224">
        <f t="shared" si="15"/>
        <v>0.44022823537648331</v>
      </c>
      <c r="AB7" s="180">
        <f t="shared" si="16"/>
        <v>1.8482864844050828</v>
      </c>
      <c r="AC7" s="180">
        <f t="shared" si="17"/>
        <v>0.28478376412494877</v>
      </c>
      <c r="AD7" s="180"/>
      <c r="AE7" s="180">
        <f t="shared" si="18"/>
        <v>1.217557251908397</v>
      </c>
      <c r="AF7" s="564">
        <f>MAX(10, F7/(0.5*AE7/1000000*Isw_min*Nps)/1000)</f>
        <v>10</v>
      </c>
      <c r="AG7" s="547">
        <f t="shared" si="19"/>
        <v>0.1235820610687023</v>
      </c>
      <c r="AI7" s="180">
        <f t="shared" si="20"/>
        <v>3.8887858159913004E-2</v>
      </c>
      <c r="AJ7" s="180">
        <f t="shared" si="21"/>
        <v>0.28999999999999998</v>
      </c>
      <c r="AK7" s="180">
        <f t="shared" si="22"/>
        <v>1.0057142857142858</v>
      </c>
      <c r="AM7" s="564">
        <f t="shared" si="23"/>
        <v>2</v>
      </c>
      <c r="AN7" s="473">
        <f t="shared" si="24"/>
        <v>10</v>
      </c>
      <c r="AP7">
        <f t="shared" si="25"/>
        <v>2</v>
      </c>
      <c r="AQ7" s="473">
        <f t="shared" si="26"/>
        <v>10</v>
      </c>
      <c r="AR7" s="473"/>
      <c r="AS7" s="5">
        <f t="shared" si="48"/>
        <v>100</v>
      </c>
      <c r="AT7" s="5">
        <f t="shared" si="27"/>
        <v>0.6645833333333333</v>
      </c>
      <c r="AU7" s="5">
        <f t="shared" si="49"/>
        <v>99.33541666666666</v>
      </c>
      <c r="AV7" s="5">
        <f t="shared" si="28"/>
        <v>1.217557251908397</v>
      </c>
      <c r="AW7" s="180">
        <f t="shared" si="50"/>
        <v>6.6458333333333335E-3</v>
      </c>
      <c r="AX7" s="180">
        <f t="shared" si="29"/>
        <v>2.3127499999999999E-2</v>
      </c>
      <c r="AY7" s="180">
        <f t="shared" si="30"/>
        <v>0.28807270833333332</v>
      </c>
      <c r="AZ7" s="180">
        <f t="shared" si="51"/>
        <v>8.0283551100018877E-2</v>
      </c>
      <c r="BA7" s="473">
        <f t="shared" si="31"/>
        <v>2.1097883597883598E-2</v>
      </c>
      <c r="BB7" s="5">
        <f t="shared" si="32"/>
        <v>4.8288049768518512E-2</v>
      </c>
      <c r="BC7" s="5"/>
      <c r="BD7" s="180">
        <f t="shared" si="52"/>
        <v>1.3649353871561506E-2</v>
      </c>
      <c r="BE7" s="180">
        <f t="shared" si="33"/>
        <v>0.33374857885673292</v>
      </c>
      <c r="BF7" s="180"/>
      <c r="BG7" s="547">
        <f t="shared" si="34"/>
        <v>6.5206701388888875E-5</v>
      </c>
      <c r="BH7" s="547">
        <f t="shared" si="35"/>
        <v>1.0759000000000001E-3</v>
      </c>
      <c r="BI7" s="547">
        <f t="shared" si="36"/>
        <v>1.25E-4</v>
      </c>
      <c r="BJ7" s="547">
        <f t="shared" si="37"/>
        <v>7.9143575000000009E-4</v>
      </c>
      <c r="BK7">
        <f t="shared" si="38"/>
        <v>6.96E-3</v>
      </c>
      <c r="BL7" s="473">
        <f t="shared" si="53"/>
        <v>9.0175424513888895</v>
      </c>
      <c r="BM7" s="547">
        <f t="shared" si="54"/>
        <v>6.9999999999999999E-4</v>
      </c>
      <c r="BN7" s="547"/>
      <c r="BP7" s="473">
        <f t="shared" si="55"/>
        <v>0.7</v>
      </c>
      <c r="BQ7" s="547">
        <f t="shared" si="39"/>
        <v>2.0493534722222218E-5</v>
      </c>
      <c r="BR7" s="547">
        <f t="shared" si="40"/>
        <v>3.8985839861111109E-3</v>
      </c>
      <c r="BS7" s="547">
        <f t="shared" si="41"/>
        <v>7.1608569668720578E-7</v>
      </c>
      <c r="BT7" s="547">
        <f t="shared" si="42"/>
        <v>8.4100000000000006E-4</v>
      </c>
      <c r="BU7" s="473">
        <f t="shared" si="56"/>
        <v>4.7607936065300196</v>
      </c>
      <c r="BV7" s="180">
        <f t="shared" si="57"/>
        <v>1.4478336057918909E-2</v>
      </c>
      <c r="BW7" s="5">
        <f t="shared" si="58"/>
        <v>1.26E-2</v>
      </c>
      <c r="BX7" s="180">
        <f t="shared" si="59"/>
        <v>0.46531662702794474</v>
      </c>
      <c r="BY7" s="5">
        <f t="shared" si="60"/>
        <v>46.531662702794478</v>
      </c>
      <c r="CB7" s="582">
        <f t="shared" si="43"/>
        <v>-50</v>
      </c>
      <c r="CC7">
        <f t="shared" si="44"/>
        <v>-50</v>
      </c>
    </row>
    <row r="8" spans="2:81" x14ac:dyDescent="0.25">
      <c r="E8" s="177">
        <v>3</v>
      </c>
      <c r="F8" s="224">
        <f t="shared" si="45"/>
        <v>3.0000000000000001E-3</v>
      </c>
      <c r="G8" s="224"/>
      <c r="H8" s="224">
        <f t="shared" si="0"/>
        <v>1.89E-2</v>
      </c>
      <c r="I8" s="560">
        <f t="shared" si="1"/>
        <v>24</v>
      </c>
      <c r="J8" s="179">
        <f t="shared" si="2"/>
        <v>13.1</v>
      </c>
      <c r="K8" s="455">
        <f t="shared" si="3"/>
        <v>37.1</v>
      </c>
      <c r="L8" s="455"/>
      <c r="M8" s="224">
        <f t="shared" si="4"/>
        <v>0.35309973045822102</v>
      </c>
      <c r="N8" s="179">
        <f t="shared" si="5"/>
        <v>5.5295417789757408</v>
      </c>
      <c r="O8" s="179">
        <f t="shared" si="46"/>
        <v>1.89E-2</v>
      </c>
      <c r="P8" s="224">
        <f t="shared" si="6"/>
        <v>0.87770504428186369</v>
      </c>
      <c r="Q8" s="224">
        <f t="shared" si="7"/>
        <v>6.3</v>
      </c>
      <c r="R8" s="224">
        <f t="shared" si="8"/>
        <v>0.97522782697984844</v>
      </c>
      <c r="S8" s="179">
        <f t="shared" si="9"/>
        <v>5208.0005760091517</v>
      </c>
      <c r="T8" s="179">
        <f t="shared" si="10"/>
        <v>6.3</v>
      </c>
      <c r="U8" s="224">
        <f t="shared" si="11"/>
        <v>4.9561068702290078E-3</v>
      </c>
      <c r="V8" s="224">
        <f t="shared" si="12"/>
        <v>1.1357744910941476E-2</v>
      </c>
      <c r="W8" s="224">
        <f t="shared" si="13"/>
        <v>2.0808082279587439E-2</v>
      </c>
      <c r="X8" s="204">
        <f t="shared" si="14"/>
        <v>350</v>
      </c>
      <c r="Y8" s="455">
        <f t="shared" si="47"/>
        <v>350</v>
      </c>
      <c r="AA8" s="224">
        <f t="shared" si="15"/>
        <v>0.44022823537648331</v>
      </c>
      <c r="AB8" s="180">
        <f t="shared" si="16"/>
        <v>1.8482864844050828</v>
      </c>
      <c r="AC8" s="180">
        <f t="shared" si="17"/>
        <v>0.28478376412494877</v>
      </c>
      <c r="AD8" s="180"/>
      <c r="AE8" s="180">
        <f t="shared" si="18"/>
        <v>1.217557251908397</v>
      </c>
      <c r="AF8" s="564">
        <f t="shared" ref="AF8:AF39" si="61">MAX(10000,F8/(0.5*AE8/1000000*Isw_min*Nps))/1000</f>
        <v>10</v>
      </c>
      <c r="AG8" s="547">
        <f t="shared" si="19"/>
        <v>0.1235820610687023</v>
      </c>
      <c r="AI8" s="180">
        <f t="shared" si="20"/>
        <v>4.7627704840757006E-2</v>
      </c>
      <c r="AJ8" s="180">
        <f t="shared" si="21"/>
        <v>0.28999999999999998</v>
      </c>
      <c r="AK8" s="180">
        <f t="shared" si="22"/>
        <v>1.0057142857142858</v>
      </c>
      <c r="AM8" s="564">
        <f t="shared" si="23"/>
        <v>3</v>
      </c>
      <c r="AN8" s="473">
        <f t="shared" si="24"/>
        <v>10</v>
      </c>
      <c r="AP8">
        <f t="shared" si="25"/>
        <v>3</v>
      </c>
      <c r="AQ8" s="473">
        <f t="shared" si="26"/>
        <v>10</v>
      </c>
      <c r="AR8" s="473"/>
      <c r="AS8" s="5">
        <f t="shared" si="48"/>
        <v>100</v>
      </c>
      <c r="AT8" s="5">
        <f t="shared" si="27"/>
        <v>0.6645833333333333</v>
      </c>
      <c r="AU8" s="5">
        <f t="shared" si="49"/>
        <v>99.33541666666666</v>
      </c>
      <c r="AV8" s="5">
        <f t="shared" si="28"/>
        <v>1.217557251908397</v>
      </c>
      <c r="AW8" s="180">
        <f t="shared" si="50"/>
        <v>6.6458333333333335E-3</v>
      </c>
      <c r="AX8" s="180">
        <f t="shared" si="29"/>
        <v>2.3127499999999999E-2</v>
      </c>
      <c r="AY8" s="180">
        <f t="shared" si="30"/>
        <v>0.28807270833333332</v>
      </c>
      <c r="AZ8" s="180">
        <f t="shared" si="51"/>
        <v>8.0283551100018877E-2</v>
      </c>
      <c r="BA8" s="473">
        <f t="shared" si="31"/>
        <v>3.1646825396825395E-2</v>
      </c>
      <c r="BB8" s="5">
        <f t="shared" si="32"/>
        <v>7.2432074652777761E-2</v>
      </c>
      <c r="BC8" s="5"/>
      <c r="BD8" s="180">
        <f t="shared" si="52"/>
        <v>1.3649353871561506E-2</v>
      </c>
      <c r="BE8" s="180">
        <f t="shared" si="33"/>
        <v>0.33374857885673292</v>
      </c>
      <c r="BF8" s="180"/>
      <c r="BG8" s="547">
        <f t="shared" si="34"/>
        <v>6.5206701388888875E-5</v>
      </c>
      <c r="BH8" s="547">
        <f t="shared" si="35"/>
        <v>1.0759000000000001E-3</v>
      </c>
      <c r="BI8" s="547">
        <f t="shared" si="36"/>
        <v>1.25E-4</v>
      </c>
      <c r="BJ8" s="547">
        <f t="shared" si="37"/>
        <v>7.9143575000000009E-4</v>
      </c>
      <c r="BK8">
        <f t="shared" si="38"/>
        <v>6.96E-3</v>
      </c>
      <c r="BL8" s="473">
        <f t="shared" si="53"/>
        <v>9.0175424513888895</v>
      </c>
      <c r="BM8" s="547">
        <f t="shared" si="54"/>
        <v>1.0499999999999999E-3</v>
      </c>
      <c r="BN8" s="547"/>
      <c r="BP8" s="473">
        <f t="shared" si="55"/>
        <v>1.05</v>
      </c>
      <c r="BQ8" s="547">
        <f t="shared" si="39"/>
        <v>2.0493534722222218E-5</v>
      </c>
      <c r="BR8" s="547">
        <f t="shared" si="40"/>
        <v>3.8985839861111109E-3</v>
      </c>
      <c r="BS8" s="547">
        <f t="shared" si="41"/>
        <v>7.1608569668720578E-7</v>
      </c>
      <c r="BT8" s="547">
        <f t="shared" si="42"/>
        <v>8.4100000000000006E-4</v>
      </c>
      <c r="BU8" s="473">
        <f t="shared" si="56"/>
        <v>4.7607936065300196</v>
      </c>
      <c r="BV8" s="180">
        <f t="shared" si="57"/>
        <v>1.4828336057918912E-2</v>
      </c>
      <c r="BW8" s="5">
        <f t="shared" si="58"/>
        <v>1.89E-2</v>
      </c>
      <c r="BX8" s="180">
        <f t="shared" si="59"/>
        <v>0.56035969184914958</v>
      </c>
      <c r="BY8" s="5">
        <f t="shared" si="60"/>
        <v>56.035969184914961</v>
      </c>
      <c r="CB8" s="582">
        <f t="shared" si="43"/>
        <v>-50</v>
      </c>
      <c r="CC8">
        <f t="shared" si="44"/>
        <v>-50</v>
      </c>
    </row>
    <row r="9" spans="2:81" x14ac:dyDescent="0.25">
      <c r="E9" s="177">
        <v>4</v>
      </c>
      <c r="F9" s="224">
        <f t="shared" si="45"/>
        <v>4.0000000000000001E-3</v>
      </c>
      <c r="G9" s="224"/>
      <c r="H9" s="224">
        <f t="shared" si="0"/>
        <v>2.52E-2</v>
      </c>
      <c r="I9" s="560">
        <f t="shared" si="1"/>
        <v>24</v>
      </c>
      <c r="J9" s="179">
        <f t="shared" si="2"/>
        <v>13.1</v>
      </c>
      <c r="K9" s="455">
        <f t="shared" si="3"/>
        <v>37.1</v>
      </c>
      <c r="L9" s="455"/>
      <c r="M9" s="224">
        <f t="shared" si="4"/>
        <v>0.35309973045822102</v>
      </c>
      <c r="N9" s="179">
        <f t="shared" si="5"/>
        <v>5.5295417789757408</v>
      </c>
      <c r="O9" s="179">
        <f t="shared" si="46"/>
        <v>2.52E-2</v>
      </c>
      <c r="P9" s="224">
        <f t="shared" si="6"/>
        <v>0.87770504428186369</v>
      </c>
      <c r="Q9" s="224">
        <f t="shared" si="7"/>
        <v>6.3</v>
      </c>
      <c r="R9" s="224">
        <f t="shared" si="8"/>
        <v>0.97522782697984844</v>
      </c>
      <c r="S9" s="179">
        <f t="shared" si="9"/>
        <v>3903.0007685901255</v>
      </c>
      <c r="T9" s="179">
        <f t="shared" si="10"/>
        <v>6.3</v>
      </c>
      <c r="U9" s="224">
        <f t="shared" si="11"/>
        <v>6.6081424936386768E-3</v>
      </c>
      <c r="V9" s="224">
        <f t="shared" si="12"/>
        <v>1.5143659881255302E-2</v>
      </c>
      <c r="W9" s="224">
        <f t="shared" si="13"/>
        <v>2.7744109706116585E-2</v>
      </c>
      <c r="X9" s="204">
        <f t="shared" si="14"/>
        <v>350</v>
      </c>
      <c r="Y9" s="455">
        <f t="shared" si="47"/>
        <v>350</v>
      </c>
      <c r="AA9" s="224">
        <f t="shared" si="15"/>
        <v>0.44022823537648331</v>
      </c>
      <c r="AB9" s="180">
        <f t="shared" si="16"/>
        <v>1.8482864844050828</v>
      </c>
      <c r="AC9" s="180">
        <f t="shared" si="17"/>
        <v>0.28478376412494877</v>
      </c>
      <c r="AD9" s="180"/>
      <c r="AE9" s="180">
        <f t="shared" si="18"/>
        <v>1.217557251908397</v>
      </c>
      <c r="AF9" s="564">
        <f t="shared" si="61"/>
        <v>11.328505026483622</v>
      </c>
      <c r="AG9" s="547">
        <f t="shared" si="19"/>
        <v>0.1235820610687023</v>
      </c>
      <c r="AI9" s="180">
        <f t="shared" si="20"/>
        <v>5.4995736421390197E-2</v>
      </c>
      <c r="AJ9" s="180">
        <f t="shared" si="21"/>
        <v>0.28999999999999998</v>
      </c>
      <c r="AK9" s="180">
        <f t="shared" si="22"/>
        <v>1.0064734314437049</v>
      </c>
      <c r="AM9" s="564">
        <f t="shared" si="23"/>
        <v>4</v>
      </c>
      <c r="AN9" s="473">
        <f t="shared" si="24"/>
        <v>11.328505026483622</v>
      </c>
      <c r="AP9">
        <f t="shared" si="25"/>
        <v>4</v>
      </c>
      <c r="AQ9" s="473">
        <f t="shared" si="26"/>
        <v>11.328505026483622</v>
      </c>
      <c r="AR9" s="473"/>
      <c r="AS9" s="5">
        <f t="shared" si="48"/>
        <v>88.272900763358791</v>
      </c>
      <c r="AT9" s="5">
        <f t="shared" si="27"/>
        <v>0.6645833333333333</v>
      </c>
      <c r="AU9" s="5">
        <f t="shared" si="49"/>
        <v>87.608317430025451</v>
      </c>
      <c r="AV9" s="5">
        <f t="shared" si="28"/>
        <v>1.217557251908397</v>
      </c>
      <c r="AW9" s="180">
        <f t="shared" si="50"/>
        <v>7.5287356321839067E-3</v>
      </c>
      <c r="AX9" s="180">
        <f t="shared" si="29"/>
        <v>2.6199999999999998E-2</v>
      </c>
      <c r="AY9" s="180">
        <f t="shared" si="30"/>
        <v>0.28781666666666667</v>
      </c>
      <c r="AZ9" s="180">
        <f t="shared" si="51"/>
        <v>9.1030169668191552E-2</v>
      </c>
      <c r="BA9" s="473">
        <f t="shared" si="31"/>
        <v>4.2195767195767196E-2</v>
      </c>
      <c r="BB9" s="5">
        <f t="shared" si="32"/>
        <v>8.5174753056969185E-2</v>
      </c>
      <c r="BC9" s="5"/>
      <c r="BD9" s="180">
        <f t="shared" si="52"/>
        <v>1.4527751221560598E-2</v>
      </c>
      <c r="BE9" s="180">
        <f t="shared" si="33"/>
        <v>0.33360022648540139</v>
      </c>
      <c r="BF9" s="180"/>
      <c r="BG9" s="547">
        <f t="shared" si="34"/>
        <v>7.3869444444444403E-5</v>
      </c>
      <c r="BH9" s="547">
        <f t="shared" si="35"/>
        <v>1.2188338557993731E-3</v>
      </c>
      <c r="BI9" s="547">
        <f t="shared" si="36"/>
        <v>1.4160631283104529E-4</v>
      </c>
      <c r="BJ9" s="547">
        <f t="shared" si="37"/>
        <v>8.9657838720138357E-4</v>
      </c>
      <c r="BK9">
        <f t="shared" si="38"/>
        <v>6.96E-3</v>
      </c>
      <c r="BL9" s="473">
        <f t="shared" si="53"/>
        <v>9.2908880002762473</v>
      </c>
      <c r="BM9" s="547">
        <f t="shared" si="54"/>
        <v>1.4E-3</v>
      </c>
      <c r="BN9" s="547"/>
      <c r="BP9" s="473">
        <f t="shared" si="55"/>
        <v>1.4</v>
      </c>
      <c r="BQ9" s="547">
        <f t="shared" si="39"/>
        <v>2.3216111111111098E-5</v>
      </c>
      <c r="BR9" s="547">
        <f t="shared" si="40"/>
        <v>3.8951188888888891E-3</v>
      </c>
      <c r="BS9" s="547">
        <f t="shared" si="41"/>
        <v>9.7812982895634276E-7</v>
      </c>
      <c r="BT9" s="547">
        <f t="shared" si="42"/>
        <v>9.5272727272727273E-4</v>
      </c>
      <c r="BU9" s="473">
        <f t="shared" si="56"/>
        <v>4.8720404025562294</v>
      </c>
      <c r="BV9" s="180">
        <f t="shared" si="57"/>
        <v>1.5562928402832478E-2</v>
      </c>
      <c r="BW9" s="5">
        <f t="shared" si="58"/>
        <v>2.52E-2</v>
      </c>
      <c r="BX9" s="180">
        <f t="shared" si="59"/>
        <v>0.61820877418239994</v>
      </c>
      <c r="BY9" s="5">
        <f t="shared" si="60"/>
        <v>61.820877418239995</v>
      </c>
      <c r="CB9" s="582">
        <f t="shared" si="43"/>
        <v>-50</v>
      </c>
      <c r="CC9">
        <f t="shared" si="44"/>
        <v>-50</v>
      </c>
    </row>
    <row r="10" spans="2:81" x14ac:dyDescent="0.25">
      <c r="E10" s="177">
        <v>5</v>
      </c>
      <c r="F10" s="224">
        <f t="shared" si="45"/>
        <v>5.000000000000001E-3</v>
      </c>
      <c r="G10" s="224"/>
      <c r="H10" s="224">
        <f t="shared" si="0"/>
        <v>3.1500000000000007E-2</v>
      </c>
      <c r="I10" s="560">
        <f t="shared" si="1"/>
        <v>24</v>
      </c>
      <c r="J10" s="179">
        <f t="shared" si="2"/>
        <v>13.1</v>
      </c>
      <c r="K10" s="455">
        <f t="shared" si="3"/>
        <v>37.1</v>
      </c>
      <c r="L10" s="455"/>
      <c r="M10" s="224">
        <f t="shared" si="4"/>
        <v>0.35309973045822102</v>
      </c>
      <c r="N10" s="179">
        <f t="shared" si="5"/>
        <v>5.5295417789757408</v>
      </c>
      <c r="O10" s="179">
        <f t="shared" si="46"/>
        <v>3.1500000000000007E-2</v>
      </c>
      <c r="P10" s="224">
        <f t="shared" si="6"/>
        <v>0.87770504428186369</v>
      </c>
      <c r="Q10" s="224">
        <f t="shared" si="7"/>
        <v>6.3</v>
      </c>
      <c r="R10" s="224">
        <f t="shared" si="8"/>
        <v>0.97522782697984844</v>
      </c>
      <c r="S10" s="179">
        <f t="shared" si="9"/>
        <v>3120.0009614611245</v>
      </c>
      <c r="T10" s="179">
        <f t="shared" si="10"/>
        <v>6.3</v>
      </c>
      <c r="U10" s="224">
        <f t="shared" si="11"/>
        <v>8.2601781170483484E-3</v>
      </c>
      <c r="V10" s="224">
        <f t="shared" si="12"/>
        <v>1.8929574851569132E-2</v>
      </c>
      <c r="W10" s="224">
        <f t="shared" si="13"/>
        <v>3.4680137132645741E-2</v>
      </c>
      <c r="X10" s="204">
        <f t="shared" si="14"/>
        <v>350</v>
      </c>
      <c r="Y10" s="455">
        <f t="shared" si="47"/>
        <v>350</v>
      </c>
      <c r="AA10" s="224">
        <f t="shared" si="15"/>
        <v>0.44022823537648331</v>
      </c>
      <c r="AB10" s="180">
        <f t="shared" si="16"/>
        <v>1.8482864844050828</v>
      </c>
      <c r="AC10" s="180">
        <f t="shared" si="17"/>
        <v>0.28478376412494877</v>
      </c>
      <c r="AD10" s="180"/>
      <c r="AE10" s="180">
        <f t="shared" si="18"/>
        <v>1.217557251908397</v>
      </c>
      <c r="AF10" s="564">
        <f t="shared" si="61"/>
        <v>14.16063128310453</v>
      </c>
      <c r="AG10" s="547">
        <f t="shared" si="19"/>
        <v>0.1235820610687023</v>
      </c>
      <c r="AI10" s="180">
        <f t="shared" si="20"/>
        <v>6.1487102555444755E-2</v>
      </c>
      <c r="AJ10" s="180">
        <f t="shared" si="21"/>
        <v>0.28999999999999998</v>
      </c>
      <c r="AK10" s="180">
        <f t="shared" si="22"/>
        <v>1.0080917893046311</v>
      </c>
      <c r="AM10" s="564">
        <f t="shared" si="23"/>
        <v>5.0000000000000009</v>
      </c>
      <c r="AN10" s="473">
        <f t="shared" si="24"/>
        <v>14.16063128310453</v>
      </c>
      <c r="AP10">
        <f t="shared" si="25"/>
        <v>5.0000000000000009</v>
      </c>
      <c r="AQ10" s="473">
        <f t="shared" si="26"/>
        <v>14.16063128310453</v>
      </c>
      <c r="AR10" s="473"/>
      <c r="AS10" s="5">
        <f t="shared" si="48"/>
        <v>70.618320610687007</v>
      </c>
      <c r="AT10" s="5">
        <f t="shared" si="27"/>
        <v>0.6645833333333333</v>
      </c>
      <c r="AU10" s="5">
        <f t="shared" si="49"/>
        <v>69.953737277353667</v>
      </c>
      <c r="AV10" s="5">
        <f t="shared" si="28"/>
        <v>1.217557251908397</v>
      </c>
      <c r="AW10" s="180">
        <f t="shared" si="50"/>
        <v>9.4109195402298871E-3</v>
      </c>
      <c r="AX10" s="180">
        <f t="shared" si="29"/>
        <v>3.2750000000000001E-2</v>
      </c>
      <c r="AY10" s="180">
        <f t="shared" si="30"/>
        <v>0.28727083333333331</v>
      </c>
      <c r="AZ10" s="180">
        <f t="shared" si="51"/>
        <v>0.11400391616505912</v>
      </c>
      <c r="BA10" s="473">
        <f t="shared" si="31"/>
        <v>5.2744708994708997E-2</v>
      </c>
      <c r="BB10" s="5">
        <f t="shared" si="32"/>
        <v>8.5013222385672868E-2</v>
      </c>
      <c r="BC10" s="5"/>
      <c r="BD10" s="180">
        <f t="shared" si="52"/>
        <v>1.6242519645807557E-2</v>
      </c>
      <c r="BE10" s="180">
        <f t="shared" si="33"/>
        <v>0.33328374631169094</v>
      </c>
      <c r="BF10" s="180"/>
      <c r="BG10" s="547">
        <f t="shared" si="34"/>
        <v>9.2336805555555548E-5</v>
      </c>
      <c r="BH10" s="547">
        <f t="shared" si="35"/>
        <v>1.5235423197492166E-3</v>
      </c>
      <c r="BI10" s="547">
        <f t="shared" si="36"/>
        <v>1.7700789103880662E-4</v>
      </c>
      <c r="BJ10" s="547">
        <f t="shared" si="37"/>
        <v>1.1207229840017297E-3</v>
      </c>
      <c r="BK10">
        <f t="shared" si="38"/>
        <v>6.96E-3</v>
      </c>
      <c r="BL10" s="473">
        <f t="shared" si="53"/>
        <v>9.8736100003453089</v>
      </c>
      <c r="BM10" s="547">
        <f t="shared" si="54"/>
        <v>1.7500000000000003E-3</v>
      </c>
      <c r="BN10" s="547"/>
      <c r="BP10" s="473">
        <f t="shared" si="55"/>
        <v>1.7500000000000002</v>
      </c>
      <c r="BQ10" s="547">
        <f t="shared" si="39"/>
        <v>2.9020138888888891E-5</v>
      </c>
      <c r="BR10" s="547">
        <f t="shared" si="40"/>
        <v>3.8877319444444451E-3</v>
      </c>
      <c r="BS10" s="547">
        <f t="shared" si="41"/>
        <v>1.7087224909114258E-6</v>
      </c>
      <c r="BT10" s="547">
        <f t="shared" si="42"/>
        <v>1.190909090909091E-3</v>
      </c>
      <c r="BU10" s="473">
        <f t="shared" si="56"/>
        <v>5.1093698967333356</v>
      </c>
      <c r="BV10" s="180">
        <f t="shared" si="57"/>
        <v>1.6732979897078646E-2</v>
      </c>
      <c r="BW10" s="5">
        <f t="shared" si="58"/>
        <v>3.1500000000000007E-2</v>
      </c>
      <c r="BX10" s="180">
        <f t="shared" si="59"/>
        <v>0.65308011379798403</v>
      </c>
      <c r="BY10" s="5">
        <f t="shared" si="60"/>
        <v>65.308011379798401</v>
      </c>
      <c r="CB10" s="582">
        <f t="shared" si="43"/>
        <v>-50</v>
      </c>
      <c r="CC10">
        <f t="shared" si="44"/>
        <v>-50</v>
      </c>
    </row>
    <row r="11" spans="2:81" x14ac:dyDescent="0.25">
      <c r="E11" s="177">
        <v>6</v>
      </c>
      <c r="F11" s="224">
        <f t="shared" si="45"/>
        <v>6.0000000000000001E-3</v>
      </c>
      <c r="G11" s="224"/>
      <c r="H11" s="224">
        <f t="shared" si="0"/>
        <v>3.78E-2</v>
      </c>
      <c r="I11" s="560">
        <f t="shared" si="1"/>
        <v>24</v>
      </c>
      <c r="J11" s="179">
        <f t="shared" si="2"/>
        <v>13.1</v>
      </c>
      <c r="K11" s="455">
        <f t="shared" si="3"/>
        <v>37.1</v>
      </c>
      <c r="L11" s="455"/>
      <c r="M11" s="224">
        <f t="shared" si="4"/>
        <v>0.35309973045822102</v>
      </c>
      <c r="N11" s="179">
        <f t="shared" si="5"/>
        <v>5.5295417789757408</v>
      </c>
      <c r="O11" s="179">
        <f t="shared" si="46"/>
        <v>3.78E-2</v>
      </c>
      <c r="P11" s="224">
        <f t="shared" si="6"/>
        <v>0.87770504428186369</v>
      </c>
      <c r="Q11" s="224">
        <f t="shared" si="7"/>
        <v>6.3</v>
      </c>
      <c r="R11" s="224">
        <f t="shared" si="8"/>
        <v>0.97522782697984844</v>
      </c>
      <c r="S11" s="179">
        <f t="shared" si="9"/>
        <v>2598.0011546227911</v>
      </c>
      <c r="T11" s="179">
        <f t="shared" si="10"/>
        <v>6.3</v>
      </c>
      <c r="U11" s="224">
        <f t="shared" si="11"/>
        <v>9.9122137404580157E-3</v>
      </c>
      <c r="V11" s="224">
        <f t="shared" si="12"/>
        <v>2.2715489821882952E-2</v>
      </c>
      <c r="W11" s="224">
        <f t="shared" si="13"/>
        <v>4.1616164559174877E-2</v>
      </c>
      <c r="X11" s="204">
        <f t="shared" si="14"/>
        <v>350</v>
      </c>
      <c r="Y11" s="455">
        <f t="shared" si="47"/>
        <v>350</v>
      </c>
      <c r="AA11" s="224">
        <f t="shared" si="15"/>
        <v>0.44022823537648331</v>
      </c>
      <c r="AB11" s="180">
        <f t="shared" si="16"/>
        <v>1.8482864844050828</v>
      </c>
      <c r="AC11" s="180">
        <f t="shared" si="17"/>
        <v>0.28478376412494877</v>
      </c>
      <c r="AD11" s="180"/>
      <c r="AE11" s="180">
        <f t="shared" si="18"/>
        <v>1.217557251908397</v>
      </c>
      <c r="AF11" s="564">
        <f t="shared" si="61"/>
        <v>16.992757539725432</v>
      </c>
      <c r="AG11" s="547">
        <f t="shared" si="19"/>
        <v>0.1235820610687023</v>
      </c>
      <c r="AI11" s="180">
        <f t="shared" si="20"/>
        <v>6.7355746130501271E-2</v>
      </c>
      <c r="AJ11" s="180">
        <f t="shared" si="21"/>
        <v>0.28999999999999998</v>
      </c>
      <c r="AK11" s="180">
        <f t="shared" si="22"/>
        <v>1.0097101471655574</v>
      </c>
      <c r="AM11" s="564">
        <f t="shared" si="23"/>
        <v>6</v>
      </c>
      <c r="AN11" s="473">
        <f t="shared" si="24"/>
        <v>16.992757539725432</v>
      </c>
      <c r="AP11">
        <f t="shared" si="25"/>
        <v>6</v>
      </c>
      <c r="AQ11" s="473">
        <f t="shared" si="26"/>
        <v>16.992757539725432</v>
      </c>
      <c r="AR11" s="473"/>
      <c r="AS11" s="5">
        <f t="shared" si="48"/>
        <v>58.848600508905861</v>
      </c>
      <c r="AT11" s="5">
        <f t="shared" si="27"/>
        <v>0.6645833333333333</v>
      </c>
      <c r="AU11" s="5">
        <f t="shared" si="49"/>
        <v>58.184017175572528</v>
      </c>
      <c r="AV11" s="5">
        <f t="shared" si="28"/>
        <v>1.217557251908397</v>
      </c>
      <c r="AW11" s="180">
        <f t="shared" si="50"/>
        <v>1.129310344827586E-2</v>
      </c>
      <c r="AX11" s="180">
        <f t="shared" si="29"/>
        <v>3.9299999999999995E-2</v>
      </c>
      <c r="AY11" s="180">
        <f t="shared" si="30"/>
        <v>0.28672500000000001</v>
      </c>
      <c r="AZ11" s="180">
        <f t="shared" si="51"/>
        <v>0.13706513209521315</v>
      </c>
      <c r="BA11" s="473">
        <f t="shared" si="31"/>
        <v>6.3293650793650791E-2</v>
      </c>
      <c r="BB11" s="5">
        <f t="shared" si="32"/>
        <v>8.4851691714376593E-2</v>
      </c>
      <c r="BC11" s="5"/>
      <c r="BD11" s="180">
        <f t="shared" si="52"/>
        <v>1.7792788801459236E-2</v>
      </c>
      <c r="BE11" s="180">
        <f t="shared" si="33"/>
        <v>0.33296696532839409</v>
      </c>
      <c r="BF11" s="180"/>
      <c r="BG11" s="547">
        <f t="shared" si="34"/>
        <v>1.1080416666666661E-4</v>
      </c>
      <c r="BH11" s="547">
        <f t="shared" si="35"/>
        <v>1.8282507836990592E-3</v>
      </c>
      <c r="BI11" s="547">
        <f t="shared" si="36"/>
        <v>2.1240946924656789E-4</v>
      </c>
      <c r="BJ11" s="547">
        <f t="shared" si="37"/>
        <v>1.3448675808020751E-3</v>
      </c>
      <c r="BK11">
        <f t="shared" si="38"/>
        <v>6.96E-3</v>
      </c>
      <c r="BL11" s="473">
        <f t="shared" si="53"/>
        <v>10.456332000414369</v>
      </c>
      <c r="BM11" s="547">
        <f t="shared" si="54"/>
        <v>2.0999999999999999E-3</v>
      </c>
      <c r="BN11" s="547"/>
      <c r="BP11" s="473">
        <f t="shared" si="55"/>
        <v>2.1</v>
      </c>
      <c r="BQ11" s="547">
        <f t="shared" si="39"/>
        <v>3.4824166666666651E-5</v>
      </c>
      <c r="BR11" s="547">
        <f t="shared" si="40"/>
        <v>3.8803450000000003E-3</v>
      </c>
      <c r="BS11" s="547">
        <f t="shared" si="41"/>
        <v>2.6954088560311793E-6</v>
      </c>
      <c r="BT11" s="547">
        <f t="shared" si="42"/>
        <v>1.4290909090909087E-3</v>
      </c>
      <c r="BU11" s="473">
        <f t="shared" si="56"/>
        <v>5.3469554846136065</v>
      </c>
      <c r="BV11" s="180">
        <f t="shared" si="57"/>
        <v>1.7903287485027976E-2</v>
      </c>
      <c r="BW11" s="5">
        <f t="shared" si="58"/>
        <v>3.78E-2</v>
      </c>
      <c r="BX11" s="180">
        <f t="shared" si="59"/>
        <v>0.67859549600479052</v>
      </c>
      <c r="BY11" s="5">
        <f t="shared" si="60"/>
        <v>67.859549600479056</v>
      </c>
      <c r="CB11" s="582">
        <f t="shared" si="43"/>
        <v>-50</v>
      </c>
      <c r="CC11">
        <f t="shared" si="44"/>
        <v>-50</v>
      </c>
    </row>
    <row r="12" spans="2:81" x14ac:dyDescent="0.25">
      <c r="E12" s="177">
        <v>7</v>
      </c>
      <c r="F12" s="224">
        <f t="shared" si="45"/>
        <v>7.000000000000001E-3</v>
      </c>
      <c r="G12" s="224"/>
      <c r="H12" s="224">
        <f t="shared" si="0"/>
        <v>4.4100000000000007E-2</v>
      </c>
      <c r="I12" s="560">
        <f t="shared" si="1"/>
        <v>24</v>
      </c>
      <c r="J12" s="179">
        <f t="shared" si="2"/>
        <v>13.1</v>
      </c>
      <c r="K12" s="455">
        <f t="shared" si="3"/>
        <v>37.1</v>
      </c>
      <c r="L12" s="455"/>
      <c r="M12" s="224">
        <f t="shared" si="4"/>
        <v>0.35309973045822102</v>
      </c>
      <c r="N12" s="179">
        <f t="shared" si="5"/>
        <v>5.5295417789757408</v>
      </c>
      <c r="O12" s="179">
        <f t="shared" si="46"/>
        <v>4.4100000000000007E-2</v>
      </c>
      <c r="P12" s="224">
        <f t="shared" si="6"/>
        <v>0.87770504428186369</v>
      </c>
      <c r="Q12" s="224">
        <f t="shared" si="7"/>
        <v>6.3</v>
      </c>
      <c r="R12" s="224">
        <f t="shared" si="8"/>
        <v>0.97522782697984844</v>
      </c>
      <c r="S12" s="179">
        <f t="shared" si="9"/>
        <v>2225.1442052186239</v>
      </c>
      <c r="T12" s="179">
        <f t="shared" si="10"/>
        <v>6.3</v>
      </c>
      <c r="U12" s="224">
        <f t="shared" si="11"/>
        <v>1.1564249363867686E-2</v>
      </c>
      <c r="V12" s="224">
        <f t="shared" si="12"/>
        <v>2.6501404792196783E-2</v>
      </c>
      <c r="W12" s="224">
        <f t="shared" si="13"/>
        <v>4.8552191985704034E-2</v>
      </c>
      <c r="X12" s="204">
        <f t="shared" si="14"/>
        <v>350</v>
      </c>
      <c r="Y12" s="455">
        <f t="shared" si="47"/>
        <v>350</v>
      </c>
      <c r="AA12" s="224">
        <f t="shared" si="15"/>
        <v>0.44022823537648331</v>
      </c>
      <c r="AB12" s="180">
        <f t="shared" si="16"/>
        <v>1.8482864844050828</v>
      </c>
      <c r="AC12" s="180">
        <f t="shared" si="17"/>
        <v>0.28478376412494877</v>
      </c>
      <c r="AD12" s="180"/>
      <c r="AE12" s="180">
        <f t="shared" si="18"/>
        <v>1.217557251908397</v>
      </c>
      <c r="AF12" s="564">
        <f t="shared" si="61"/>
        <v>19.824883796346342</v>
      </c>
      <c r="AG12" s="547">
        <f t="shared" si="19"/>
        <v>0.1235820610687023</v>
      </c>
      <c r="AI12" s="180">
        <f t="shared" si="20"/>
        <v>7.2752520869927881E-2</v>
      </c>
      <c r="AJ12" s="180">
        <f t="shared" si="21"/>
        <v>0.28999999999999998</v>
      </c>
      <c r="AK12" s="180">
        <f t="shared" si="22"/>
        <v>1.0113285050264835</v>
      </c>
      <c r="AM12" s="564">
        <f t="shared" si="23"/>
        <v>7.0000000000000009</v>
      </c>
      <c r="AN12" s="473">
        <f t="shared" si="24"/>
        <v>19.824883796346342</v>
      </c>
      <c r="AP12">
        <f t="shared" si="25"/>
        <v>7.0000000000000009</v>
      </c>
      <c r="AQ12" s="473">
        <f t="shared" si="26"/>
        <v>19.824883796346342</v>
      </c>
      <c r="AR12" s="473"/>
      <c r="AS12" s="5">
        <f t="shared" si="48"/>
        <v>50.441657579062159</v>
      </c>
      <c r="AT12" s="5">
        <f t="shared" si="27"/>
        <v>0.6645833333333333</v>
      </c>
      <c r="AU12" s="5">
        <f t="shared" si="49"/>
        <v>49.777074245728826</v>
      </c>
      <c r="AV12" s="5">
        <f t="shared" si="28"/>
        <v>1.217557251908397</v>
      </c>
      <c r="AW12" s="180">
        <f t="shared" si="50"/>
        <v>1.3175287356321839E-2</v>
      </c>
      <c r="AX12" s="180">
        <f t="shared" si="29"/>
        <v>4.5850000000000002E-2</v>
      </c>
      <c r="AY12" s="180">
        <f t="shared" si="30"/>
        <v>0.28617916666666665</v>
      </c>
      <c r="AZ12" s="180">
        <f t="shared" si="51"/>
        <v>0.16021431795349653</v>
      </c>
      <c r="BA12" s="473">
        <f t="shared" si="31"/>
        <v>7.3842592592592599E-2</v>
      </c>
      <c r="BB12" s="5">
        <f t="shared" si="32"/>
        <v>8.4690161043080289E-2</v>
      </c>
      <c r="BC12" s="5"/>
      <c r="BD12" s="180">
        <f t="shared" si="52"/>
        <v>1.9218408420632084E-2</v>
      </c>
      <c r="BE12" s="180">
        <f t="shared" si="33"/>
        <v>0.33264988267613205</v>
      </c>
      <c r="BF12" s="180"/>
      <c r="BG12" s="547">
        <f t="shared" si="34"/>
        <v>1.2927152777777776E-4</v>
      </c>
      <c r="BH12" s="547">
        <f t="shared" si="35"/>
        <v>2.1329592476489029E-3</v>
      </c>
      <c r="BI12" s="547">
        <f t="shared" si="36"/>
        <v>2.4781104745432922E-4</v>
      </c>
      <c r="BJ12" s="547">
        <f t="shared" si="37"/>
        <v>1.5690121776024213E-3</v>
      </c>
      <c r="BK12">
        <f t="shared" si="38"/>
        <v>6.96E-3</v>
      </c>
      <c r="BL12" s="473">
        <f t="shared" si="53"/>
        <v>11.039054000483432</v>
      </c>
      <c r="BM12" s="547">
        <f t="shared" si="54"/>
        <v>2.4500000000000004E-3</v>
      </c>
      <c r="BN12" s="547"/>
      <c r="BP12" s="473">
        <f t="shared" si="55"/>
        <v>2.4500000000000002</v>
      </c>
      <c r="BQ12" s="547">
        <f t="shared" si="39"/>
        <v>4.0628194444444444E-5</v>
      </c>
      <c r="BR12" s="547">
        <f t="shared" si="40"/>
        <v>3.8729580555555551E-3</v>
      </c>
      <c r="BS12" s="547">
        <f t="shared" si="41"/>
        <v>3.9627039246962133E-6</v>
      </c>
      <c r="BT12" s="547">
        <f t="shared" si="42"/>
        <v>1.6672727272727275E-3</v>
      </c>
      <c r="BU12" s="473">
        <f t="shared" si="56"/>
        <v>5.5848216811974227</v>
      </c>
      <c r="BV12" s="180">
        <f t="shared" si="57"/>
        <v>1.9073875681680858E-2</v>
      </c>
      <c r="BW12" s="5">
        <f t="shared" si="58"/>
        <v>4.4100000000000007E-2</v>
      </c>
      <c r="BX12" s="180">
        <f t="shared" si="59"/>
        <v>0.69807336536086706</v>
      </c>
      <c r="BY12" s="5">
        <f t="shared" si="60"/>
        <v>69.807336536086709</v>
      </c>
      <c r="CB12" s="582">
        <f t="shared" si="43"/>
        <v>-50</v>
      </c>
      <c r="CC12">
        <f t="shared" si="44"/>
        <v>-50</v>
      </c>
    </row>
    <row r="13" spans="2:81" s="77" customFormat="1" x14ac:dyDescent="0.25">
      <c r="E13" s="196">
        <v>8</v>
      </c>
      <c r="F13" s="224">
        <f t="shared" si="45"/>
        <v>8.0000000000000002E-3</v>
      </c>
      <c r="G13" s="224"/>
      <c r="H13" s="224">
        <f t="shared" si="0"/>
        <v>5.04E-2</v>
      </c>
      <c r="I13" s="560">
        <f t="shared" si="1"/>
        <v>24</v>
      </c>
      <c r="J13" s="179">
        <f t="shared" si="2"/>
        <v>13.1</v>
      </c>
      <c r="K13" s="554">
        <f t="shared" si="3"/>
        <v>37.1</v>
      </c>
      <c r="L13" s="554"/>
      <c r="M13" s="336">
        <f t="shared" si="4"/>
        <v>0.35309973045822102</v>
      </c>
      <c r="N13" s="179">
        <f t="shared" si="5"/>
        <v>5.5295417789757408</v>
      </c>
      <c r="O13" s="179">
        <f t="shared" si="46"/>
        <v>5.04E-2</v>
      </c>
      <c r="P13" s="336">
        <f t="shared" si="6"/>
        <v>0.87770504428186369</v>
      </c>
      <c r="Q13" s="224">
        <f t="shared" si="7"/>
        <v>6.3</v>
      </c>
      <c r="R13" s="224">
        <f t="shared" si="8"/>
        <v>0.97522782697984844</v>
      </c>
      <c r="S13" s="179">
        <f t="shared" si="9"/>
        <v>1945.5015418206979</v>
      </c>
      <c r="T13" s="179">
        <f t="shared" si="10"/>
        <v>6.3</v>
      </c>
      <c r="U13" s="224">
        <f t="shared" si="11"/>
        <v>1.3216284987277354E-2</v>
      </c>
      <c r="V13" s="336">
        <f t="shared" si="12"/>
        <v>3.0287319762510603E-2</v>
      </c>
      <c r="W13" s="224">
        <f t="shared" si="13"/>
        <v>5.548821941223317E-2</v>
      </c>
      <c r="X13" s="556">
        <f t="shared" si="14"/>
        <v>350</v>
      </c>
      <c r="Y13" s="554">
        <f t="shared" si="47"/>
        <v>350</v>
      </c>
      <c r="AA13" s="336">
        <f t="shared" si="15"/>
        <v>0.44022823537648331</v>
      </c>
      <c r="AB13" s="180">
        <f t="shared" si="16"/>
        <v>1.8482864844050828</v>
      </c>
      <c r="AC13" s="557">
        <f t="shared" si="17"/>
        <v>0.28478376412494877</v>
      </c>
      <c r="AD13" s="557"/>
      <c r="AE13" s="180">
        <f t="shared" si="18"/>
        <v>1.217557251908397</v>
      </c>
      <c r="AF13" s="564">
        <f t="shared" si="61"/>
        <v>22.657010052967244</v>
      </c>
      <c r="AG13" s="547">
        <f t="shared" si="19"/>
        <v>0.1235820610687023</v>
      </c>
      <c r="AH13"/>
      <c r="AI13" s="180">
        <f t="shared" si="20"/>
        <v>7.7775716319826008E-2</v>
      </c>
      <c r="AJ13" s="180">
        <f t="shared" si="21"/>
        <v>0.28999999999999998</v>
      </c>
      <c r="AK13" s="180">
        <f t="shared" si="22"/>
        <v>1.0129468628874099</v>
      </c>
      <c r="AM13" s="564">
        <f t="shared" si="23"/>
        <v>8</v>
      </c>
      <c r="AN13" s="473">
        <f t="shared" si="24"/>
        <v>22.657010052967244</v>
      </c>
      <c r="AP13">
        <f t="shared" si="25"/>
        <v>8</v>
      </c>
      <c r="AQ13" s="473">
        <f t="shared" si="26"/>
        <v>22.657010052967244</v>
      </c>
      <c r="AR13" s="473"/>
      <c r="AS13" s="5">
        <f t="shared" si="48"/>
        <v>44.136450381679396</v>
      </c>
      <c r="AT13" s="5">
        <f t="shared" si="27"/>
        <v>0.6645833333333333</v>
      </c>
      <c r="AU13" s="5">
        <f t="shared" si="49"/>
        <v>43.471867048346063</v>
      </c>
      <c r="AV13" s="5">
        <f t="shared" si="28"/>
        <v>1.217557251908397</v>
      </c>
      <c r="AW13" s="180">
        <f t="shared" si="50"/>
        <v>1.5057471264367813E-2</v>
      </c>
      <c r="AX13" s="180">
        <f t="shared" si="29"/>
        <v>5.2399999999999995E-2</v>
      </c>
      <c r="AY13" s="180">
        <f t="shared" si="30"/>
        <v>0.28563333333333329</v>
      </c>
      <c r="AZ13" s="180">
        <f t="shared" si="51"/>
        <v>0.18345197806045047</v>
      </c>
      <c r="BA13" s="473">
        <f t="shared" si="31"/>
        <v>8.4391534391534392E-2</v>
      </c>
      <c r="BB13" s="5">
        <f t="shared" si="32"/>
        <v>8.4528630371784E-2</v>
      </c>
      <c r="BC13" s="5"/>
      <c r="BD13" s="180">
        <f t="shared" si="52"/>
        <v>2.0545342808313296E-2</v>
      </c>
      <c r="BE13" s="180">
        <f t="shared" si="33"/>
        <v>0.33233249749142629</v>
      </c>
      <c r="BF13" s="180"/>
      <c r="BG13" s="547">
        <f t="shared" si="34"/>
        <v>1.4773888888888878E-4</v>
      </c>
      <c r="BH13" s="547">
        <f t="shared" si="35"/>
        <v>2.4376677115987462E-3</v>
      </c>
      <c r="BI13" s="547">
        <f t="shared" si="36"/>
        <v>2.8321262566209058E-4</v>
      </c>
      <c r="BJ13" s="547">
        <f t="shared" si="37"/>
        <v>1.7931567744027671E-3</v>
      </c>
      <c r="BK13">
        <f t="shared" si="38"/>
        <v>6.96E-3</v>
      </c>
      <c r="BL13" s="473">
        <f t="shared" si="53"/>
        <v>11.621776000552492</v>
      </c>
      <c r="BM13" s="547">
        <f t="shared" si="54"/>
        <v>2.8E-3</v>
      </c>
      <c r="BN13" s="547"/>
      <c r="BP13" s="473">
        <f t="shared" si="55"/>
        <v>2.8</v>
      </c>
      <c r="BQ13" s="547">
        <f t="shared" si="39"/>
        <v>4.643222222222219E-5</v>
      </c>
      <c r="BR13" s="547">
        <f t="shared" si="40"/>
        <v>3.8655711111111107E-3</v>
      </c>
      <c r="BS13" s="547">
        <f t="shared" si="41"/>
        <v>5.5331378794869477E-6</v>
      </c>
      <c r="BT13" s="547">
        <f t="shared" si="42"/>
        <v>1.9054545454545455E-3</v>
      </c>
      <c r="BU13" s="473">
        <f t="shared" si="56"/>
        <v>5.8229910166673653</v>
      </c>
      <c r="BV13" s="180">
        <f t="shared" si="57"/>
        <v>2.0244767017219861E-2</v>
      </c>
      <c r="BW13" s="5">
        <f t="shared" si="58"/>
        <v>5.04E-2</v>
      </c>
      <c r="BX13" s="180">
        <f t="shared" si="59"/>
        <v>0.71342863920430022</v>
      </c>
      <c r="BY13" s="5">
        <f t="shared" si="60"/>
        <v>71.34286392043002</v>
      </c>
      <c r="CB13" s="582">
        <f t="shared" si="43"/>
        <v>-50</v>
      </c>
      <c r="CC13">
        <f t="shared" si="44"/>
        <v>-50</v>
      </c>
    </row>
    <row r="14" spans="2:81" x14ac:dyDescent="0.25">
      <c r="E14" s="177">
        <v>9</v>
      </c>
      <c r="F14" s="224">
        <f t="shared" si="45"/>
        <v>8.9999999999999993E-3</v>
      </c>
      <c r="G14" s="224"/>
      <c r="H14" s="224">
        <f t="shared" si="0"/>
        <v>5.6699999999999993E-2</v>
      </c>
      <c r="I14" s="560">
        <f t="shared" si="1"/>
        <v>24</v>
      </c>
      <c r="J14" s="179">
        <f t="shared" si="2"/>
        <v>13.1</v>
      </c>
      <c r="K14" s="455">
        <f t="shared" si="3"/>
        <v>37.1</v>
      </c>
      <c r="L14" s="455"/>
      <c r="M14" s="224">
        <f t="shared" si="4"/>
        <v>0.35309973045822102</v>
      </c>
      <c r="N14" s="179">
        <f t="shared" si="5"/>
        <v>5.5295417789757408</v>
      </c>
      <c r="O14" s="179">
        <f t="shared" si="46"/>
        <v>5.6699999999999993E-2</v>
      </c>
      <c r="P14" s="224">
        <f t="shared" si="6"/>
        <v>0.87770504428186369</v>
      </c>
      <c r="Q14" s="224">
        <f t="shared" si="7"/>
        <v>6.3</v>
      </c>
      <c r="R14" s="224">
        <f t="shared" si="8"/>
        <v>0.97522782697984844</v>
      </c>
      <c r="S14" s="179">
        <f t="shared" si="9"/>
        <v>1728.0017358582309</v>
      </c>
      <c r="T14" s="179">
        <f t="shared" si="10"/>
        <v>6.3</v>
      </c>
      <c r="U14" s="224">
        <f t="shared" si="11"/>
        <v>1.4868320610687021E-2</v>
      </c>
      <c r="V14" s="224">
        <f t="shared" si="12"/>
        <v>3.407323473282442E-2</v>
      </c>
      <c r="W14" s="224">
        <f t="shared" si="13"/>
        <v>6.2424246838762298E-2</v>
      </c>
      <c r="X14" s="204">
        <f t="shared" si="14"/>
        <v>350</v>
      </c>
      <c r="Y14" s="455">
        <f t="shared" si="47"/>
        <v>350</v>
      </c>
      <c r="AA14" s="224">
        <f t="shared" si="15"/>
        <v>0.44022823537648331</v>
      </c>
      <c r="AB14" s="180">
        <f t="shared" si="16"/>
        <v>1.8482864844050828</v>
      </c>
      <c r="AC14" s="180">
        <f t="shared" si="17"/>
        <v>0.28478376412494877</v>
      </c>
      <c r="AD14" s="180"/>
      <c r="AE14" s="180">
        <f t="shared" si="18"/>
        <v>1.217557251908397</v>
      </c>
      <c r="AF14" s="564">
        <f t="shared" si="61"/>
        <v>25.489136309588147</v>
      </c>
      <c r="AG14" s="547">
        <f t="shared" si="19"/>
        <v>0.1235820610687023</v>
      </c>
      <c r="AI14" s="180">
        <f t="shared" si="20"/>
        <v>8.2493604632085285E-2</v>
      </c>
      <c r="AJ14" s="180">
        <f t="shared" si="21"/>
        <v>0.28999999999999998</v>
      </c>
      <c r="AK14" s="180">
        <f t="shared" si="22"/>
        <v>1.014565220748336</v>
      </c>
      <c r="AM14" s="564">
        <f t="shared" si="23"/>
        <v>9</v>
      </c>
      <c r="AN14" s="473">
        <f t="shared" si="24"/>
        <v>25.489136309588147</v>
      </c>
      <c r="AP14">
        <f t="shared" si="25"/>
        <v>9</v>
      </c>
      <c r="AQ14" s="473">
        <f t="shared" si="26"/>
        <v>25.489136309588147</v>
      </c>
      <c r="AR14" s="473"/>
      <c r="AS14" s="5">
        <f t="shared" si="48"/>
        <v>39.232400339270576</v>
      </c>
      <c r="AT14" s="5">
        <f t="shared" si="27"/>
        <v>0.6645833333333333</v>
      </c>
      <c r="AU14" s="5">
        <f t="shared" si="49"/>
        <v>38.567817005937243</v>
      </c>
      <c r="AV14" s="5">
        <f t="shared" si="28"/>
        <v>1.217557251908397</v>
      </c>
      <c r="AW14" s="180">
        <f t="shared" si="50"/>
        <v>1.6939655172413789E-2</v>
      </c>
      <c r="AX14" s="180">
        <f t="shared" si="29"/>
        <v>5.8949999999999989E-2</v>
      </c>
      <c r="AY14" s="180">
        <f t="shared" si="30"/>
        <v>0.28508749999999999</v>
      </c>
      <c r="AZ14" s="180">
        <f t="shared" si="51"/>
        <v>0.20677862059893889</v>
      </c>
      <c r="BA14" s="473">
        <f t="shared" si="31"/>
        <v>9.4940476190476186E-2</v>
      </c>
      <c r="BB14" s="5">
        <f t="shared" si="32"/>
        <v>8.4367099700487683E-2</v>
      </c>
      <c r="BC14" s="5"/>
      <c r="BD14" s="180">
        <f t="shared" si="52"/>
        <v>2.1791626832340899E-2</v>
      </c>
      <c r="BE14" s="180">
        <f t="shared" si="33"/>
        <v>0.33201480890667107</v>
      </c>
      <c r="BF14" s="180"/>
      <c r="BG14" s="547">
        <f t="shared" si="34"/>
        <v>1.6620624999999994E-4</v>
      </c>
      <c r="BH14" s="547">
        <f t="shared" si="35"/>
        <v>2.742376175548589E-3</v>
      </c>
      <c r="BI14" s="547">
        <f t="shared" si="36"/>
        <v>3.1861420386985182E-4</v>
      </c>
      <c r="BJ14" s="547">
        <f t="shared" si="37"/>
        <v>2.0173013712031125E-3</v>
      </c>
      <c r="BK14">
        <f t="shared" si="38"/>
        <v>6.96E-3</v>
      </c>
      <c r="BL14" s="473">
        <f t="shared" si="53"/>
        <v>12.204498000621552</v>
      </c>
      <c r="BM14" s="547">
        <f t="shared" si="54"/>
        <v>3.1499999999999996E-3</v>
      </c>
      <c r="BN14" s="547"/>
      <c r="BP14" s="473">
        <f t="shared" si="55"/>
        <v>3.1499999999999995</v>
      </c>
      <c r="BQ14" s="547">
        <f t="shared" si="39"/>
        <v>5.2236249999999983E-5</v>
      </c>
      <c r="BR14" s="547">
        <f t="shared" si="40"/>
        <v>3.8581841666666663E-3</v>
      </c>
      <c r="BS14" s="547">
        <f t="shared" si="41"/>
        <v>7.4276733886372285E-6</v>
      </c>
      <c r="BT14" s="547">
        <f t="shared" si="42"/>
        <v>2.1436363636363632E-3</v>
      </c>
      <c r="BU14" s="473">
        <f t="shared" si="56"/>
        <v>6.0614844536916666</v>
      </c>
      <c r="BV14" s="180">
        <f t="shared" si="57"/>
        <v>2.1415982454313219E-2</v>
      </c>
      <c r="BW14" s="5">
        <f t="shared" si="58"/>
        <v>5.6699999999999993E-2</v>
      </c>
      <c r="BX14" s="180">
        <f t="shared" si="59"/>
        <v>0.7258437802169545</v>
      </c>
      <c r="BY14" s="5">
        <f t="shared" si="60"/>
        <v>72.584378021695457</v>
      </c>
      <c r="CB14" s="582">
        <f t="shared" si="43"/>
        <v>-50</v>
      </c>
      <c r="CC14">
        <f t="shared" si="44"/>
        <v>-50</v>
      </c>
    </row>
    <row r="15" spans="2:81" x14ac:dyDescent="0.25">
      <c r="E15" s="177">
        <v>10</v>
      </c>
      <c r="F15" s="224">
        <f t="shared" si="45"/>
        <v>1.0000000000000002E-2</v>
      </c>
      <c r="G15" s="224"/>
      <c r="H15" s="224">
        <f t="shared" si="0"/>
        <v>6.3000000000000014E-2</v>
      </c>
      <c r="I15" s="560">
        <f t="shared" si="1"/>
        <v>24</v>
      </c>
      <c r="J15" s="179">
        <f t="shared" si="2"/>
        <v>13.1</v>
      </c>
      <c r="K15" s="455">
        <f t="shared" si="3"/>
        <v>37.1</v>
      </c>
      <c r="L15" s="455"/>
      <c r="M15" s="224">
        <f t="shared" si="4"/>
        <v>0.35309973045822102</v>
      </c>
      <c r="N15" s="179">
        <f t="shared" si="5"/>
        <v>5.5295417789757408</v>
      </c>
      <c r="O15" s="179">
        <f t="shared" si="46"/>
        <v>6.3000000000000014E-2</v>
      </c>
      <c r="P15" s="224">
        <f t="shared" si="6"/>
        <v>0.87770504428186369</v>
      </c>
      <c r="Q15" s="224">
        <f t="shared" si="7"/>
        <v>6.3</v>
      </c>
      <c r="R15" s="224">
        <f t="shared" si="8"/>
        <v>0.97522782697984844</v>
      </c>
      <c r="S15" s="179">
        <f t="shared" si="9"/>
        <v>1554.0019301890131</v>
      </c>
      <c r="T15" s="179">
        <f t="shared" si="10"/>
        <v>6.3</v>
      </c>
      <c r="U15" s="224">
        <f t="shared" si="11"/>
        <v>1.6520356234096697E-2</v>
      </c>
      <c r="V15" s="224">
        <f t="shared" si="12"/>
        <v>3.7859149703138265E-2</v>
      </c>
      <c r="W15" s="224">
        <f t="shared" si="13"/>
        <v>6.9360274265291483E-2</v>
      </c>
      <c r="X15" s="204">
        <f t="shared" si="14"/>
        <v>350</v>
      </c>
      <c r="Y15" s="455">
        <f t="shared" si="47"/>
        <v>350</v>
      </c>
      <c r="AA15" s="224">
        <f t="shared" si="15"/>
        <v>0.44022823537648331</v>
      </c>
      <c r="AB15" s="180">
        <f t="shared" si="16"/>
        <v>1.8482864844050828</v>
      </c>
      <c r="AC15" s="180">
        <f t="shared" si="17"/>
        <v>0.28478376412494877</v>
      </c>
      <c r="AD15" s="180"/>
      <c r="AE15" s="180">
        <f t="shared" si="18"/>
        <v>1.217557251908397</v>
      </c>
      <c r="AF15" s="564">
        <f t="shared" si="61"/>
        <v>28.321262566209061</v>
      </c>
      <c r="AG15" s="547">
        <f t="shared" si="19"/>
        <v>0.1235820610687023</v>
      </c>
      <c r="AI15" s="180">
        <f t="shared" si="20"/>
        <v>8.6955894344935364E-2</v>
      </c>
      <c r="AJ15" s="180">
        <f t="shared" si="21"/>
        <v>0.28999999999999998</v>
      </c>
      <c r="AK15" s="180">
        <f t="shared" si="22"/>
        <v>1.0161835786092623</v>
      </c>
      <c r="AM15" s="564">
        <f t="shared" si="23"/>
        <v>10.000000000000002</v>
      </c>
      <c r="AN15" s="473">
        <f t="shared" si="24"/>
        <v>28.321262566209061</v>
      </c>
      <c r="AP15">
        <f t="shared" si="25"/>
        <v>10.000000000000002</v>
      </c>
      <c r="AQ15" s="473">
        <f t="shared" si="26"/>
        <v>28.321262566209061</v>
      </c>
      <c r="AR15" s="473"/>
      <c r="AS15" s="5">
        <f t="shared" si="48"/>
        <v>35.309160305343504</v>
      </c>
      <c r="AT15" s="5">
        <f t="shared" si="27"/>
        <v>0.6645833333333333</v>
      </c>
      <c r="AU15" s="5">
        <f t="shared" si="49"/>
        <v>34.644576972010171</v>
      </c>
      <c r="AV15" s="5">
        <f t="shared" si="28"/>
        <v>1.217557251908397</v>
      </c>
      <c r="AW15" s="180">
        <f t="shared" si="50"/>
        <v>1.8821839080459774E-2</v>
      </c>
      <c r="AX15" s="180">
        <f t="shared" si="29"/>
        <v>6.5500000000000003E-2</v>
      </c>
      <c r="AY15" s="180">
        <f t="shared" si="30"/>
        <v>0.28454166666666664</v>
      </c>
      <c r="AZ15" s="180">
        <f t="shared" si="51"/>
        <v>0.23019475765119346</v>
      </c>
      <c r="BA15" s="473">
        <f t="shared" si="31"/>
        <v>0.10548941798941799</v>
      </c>
      <c r="BB15" s="5">
        <f t="shared" si="32"/>
        <v>8.4205569029191407E-2</v>
      </c>
      <c r="BC15" s="5"/>
      <c r="BD15" s="180">
        <f t="shared" si="52"/>
        <v>2.2970391570212488E-2</v>
      </c>
      <c r="BE15" s="180">
        <f t="shared" si="33"/>
        <v>0.33169681605010587</v>
      </c>
      <c r="BF15" s="180"/>
      <c r="BG15" s="547">
        <f t="shared" si="34"/>
        <v>1.846736111111111E-4</v>
      </c>
      <c r="BH15" s="547">
        <f t="shared" si="35"/>
        <v>3.0470846394984332E-3</v>
      </c>
      <c r="BI15" s="547">
        <f t="shared" si="36"/>
        <v>3.5401578207761323E-4</v>
      </c>
      <c r="BJ15" s="547">
        <f t="shared" si="37"/>
        <v>2.2414459680034594E-3</v>
      </c>
      <c r="BK15">
        <f t="shared" si="38"/>
        <v>6.96E-3</v>
      </c>
      <c r="BL15" s="473">
        <f t="shared" si="53"/>
        <v>12.787220000690617</v>
      </c>
      <c r="BM15" s="547">
        <f t="shared" si="54"/>
        <v>3.5000000000000005E-3</v>
      </c>
      <c r="BN15" s="547"/>
      <c r="BP15" s="473">
        <f t="shared" si="55"/>
        <v>3.5000000000000004</v>
      </c>
      <c r="BQ15" s="547">
        <f t="shared" si="39"/>
        <v>5.8040277777777783E-5</v>
      </c>
      <c r="BR15" s="547">
        <f t="shared" si="40"/>
        <v>3.8507972222222224E-3</v>
      </c>
      <c r="BS15" s="547">
        <f t="shared" si="41"/>
        <v>9.6659940839155072E-6</v>
      </c>
      <c r="BT15" s="547">
        <f t="shared" si="42"/>
        <v>2.381818181818182E-3</v>
      </c>
      <c r="BU15" s="473">
        <f t="shared" si="56"/>
        <v>6.3003216759020972</v>
      </c>
      <c r="BV15" s="180">
        <f t="shared" si="57"/>
        <v>2.2587541676592715E-2</v>
      </c>
      <c r="BW15" s="5">
        <f t="shared" si="58"/>
        <v>6.3000000000000014E-2</v>
      </c>
      <c r="BX15" s="180">
        <f t="shared" si="59"/>
        <v>0.73608843957753067</v>
      </c>
      <c r="BY15" s="5">
        <f t="shared" si="60"/>
        <v>73.608843957753066</v>
      </c>
      <c r="CB15" s="582">
        <f t="shared" si="43"/>
        <v>-50</v>
      </c>
      <c r="CC15">
        <f t="shared" si="44"/>
        <v>-50</v>
      </c>
    </row>
    <row r="16" spans="2:81" x14ac:dyDescent="0.25">
      <c r="E16" s="177">
        <v>11</v>
      </c>
      <c r="F16" s="224">
        <f t="shared" si="45"/>
        <v>1.1000000000000001E-2</v>
      </c>
      <c r="G16" s="224"/>
      <c r="H16" s="224">
        <f t="shared" si="0"/>
        <v>6.93E-2</v>
      </c>
      <c r="I16" s="560">
        <f t="shared" si="1"/>
        <v>24</v>
      </c>
      <c r="J16" s="179">
        <f t="shared" si="2"/>
        <v>13.1</v>
      </c>
      <c r="K16" s="455">
        <f t="shared" si="3"/>
        <v>37.1</v>
      </c>
      <c r="L16" s="455"/>
      <c r="M16" s="224">
        <f t="shared" si="4"/>
        <v>0.35309973045822102</v>
      </c>
      <c r="N16" s="179">
        <f t="shared" si="5"/>
        <v>5.5295417789757408</v>
      </c>
      <c r="O16" s="179">
        <f t="shared" si="46"/>
        <v>6.93E-2</v>
      </c>
      <c r="P16" s="224">
        <f t="shared" si="6"/>
        <v>0.87770504428186369</v>
      </c>
      <c r="Q16" s="224">
        <f t="shared" si="7"/>
        <v>6.3</v>
      </c>
      <c r="R16" s="224">
        <f t="shared" si="8"/>
        <v>0.97522782697984844</v>
      </c>
      <c r="S16" s="179">
        <f t="shared" si="9"/>
        <v>1411.6384884500615</v>
      </c>
      <c r="T16" s="179">
        <f t="shared" si="10"/>
        <v>6.3</v>
      </c>
      <c r="U16" s="224">
        <f t="shared" si="11"/>
        <v>1.8172391857506361E-2</v>
      </c>
      <c r="V16" s="224">
        <f t="shared" si="12"/>
        <v>4.1645064673452074E-2</v>
      </c>
      <c r="W16" s="224">
        <f t="shared" si="13"/>
        <v>7.6296301691820598E-2</v>
      </c>
      <c r="X16" s="204">
        <f t="shared" si="14"/>
        <v>350</v>
      </c>
      <c r="Y16" s="455">
        <f t="shared" si="47"/>
        <v>350</v>
      </c>
      <c r="AA16" s="224">
        <f t="shared" si="15"/>
        <v>0.44022823537648331</v>
      </c>
      <c r="AB16" s="180">
        <f t="shared" si="16"/>
        <v>1.8482864844050828</v>
      </c>
      <c r="AC16" s="180">
        <f t="shared" si="17"/>
        <v>0.28478376412494877</v>
      </c>
      <c r="AD16" s="180"/>
      <c r="AE16" s="180">
        <f t="shared" si="18"/>
        <v>1.217557251908397</v>
      </c>
      <c r="AF16" s="564">
        <f t="shared" si="61"/>
        <v>31.15338882282996</v>
      </c>
      <c r="AG16" s="547">
        <f t="shared" si="19"/>
        <v>0.1235820610687023</v>
      </c>
      <c r="AI16" s="180">
        <f t="shared" si="20"/>
        <v>9.1200111389517044E-2</v>
      </c>
      <c r="AJ16" s="180">
        <f t="shared" si="21"/>
        <v>0.28999999999999998</v>
      </c>
      <c r="AK16" s="180">
        <f t="shared" si="22"/>
        <v>1.0178019364701885</v>
      </c>
      <c r="AM16" s="564">
        <f t="shared" si="23"/>
        <v>11.000000000000002</v>
      </c>
      <c r="AN16" s="473">
        <f t="shared" si="24"/>
        <v>31.15338882282996</v>
      </c>
      <c r="AP16">
        <f t="shared" si="25"/>
        <v>11.000000000000002</v>
      </c>
      <c r="AQ16" s="473">
        <f t="shared" si="26"/>
        <v>31.15338882282996</v>
      </c>
      <c r="AR16" s="473"/>
      <c r="AS16" s="5">
        <f t="shared" si="48"/>
        <v>32.099236641221381</v>
      </c>
      <c r="AT16" s="5">
        <f t="shared" si="27"/>
        <v>0.6645833333333333</v>
      </c>
      <c r="AU16" s="5">
        <f t="shared" si="49"/>
        <v>31.434653307888048</v>
      </c>
      <c r="AV16" s="5">
        <f t="shared" si="28"/>
        <v>1.217557251908397</v>
      </c>
      <c r="AW16" s="180">
        <f t="shared" si="50"/>
        <v>2.0704022988505742E-2</v>
      </c>
      <c r="AX16" s="180">
        <f t="shared" si="29"/>
        <v>7.2049999999999989E-2</v>
      </c>
      <c r="AY16" s="180">
        <f t="shared" si="30"/>
        <v>0.28399583333333334</v>
      </c>
      <c r="AZ16" s="180">
        <f t="shared" si="51"/>
        <v>0.25370090523628569</v>
      </c>
      <c r="BA16" s="473">
        <f t="shared" si="31"/>
        <v>0.11603835978835979</v>
      </c>
      <c r="BB16" s="5">
        <f t="shared" si="32"/>
        <v>8.4044038357895118E-2</v>
      </c>
      <c r="BC16" s="5"/>
      <c r="BD16" s="180">
        <f t="shared" si="52"/>
        <v>2.4091549924771912E-2</v>
      </c>
      <c r="BE16" s="180">
        <f t="shared" si="33"/>
        <v>0.33137851804578733</v>
      </c>
      <c r="BF16" s="180"/>
      <c r="BG16" s="547">
        <f t="shared" si="34"/>
        <v>2.0314097222222215E-4</v>
      </c>
      <c r="BH16" s="547">
        <f t="shared" si="35"/>
        <v>3.351793103448276E-3</v>
      </c>
      <c r="BI16" s="547">
        <f t="shared" si="36"/>
        <v>3.8941736028537448E-4</v>
      </c>
      <c r="BJ16" s="547">
        <f t="shared" si="37"/>
        <v>2.465590564803805E-3</v>
      </c>
      <c r="BK16">
        <f t="shared" si="38"/>
        <v>6.96E-3</v>
      </c>
      <c r="BL16" s="473">
        <f t="shared" si="53"/>
        <v>13.369942000759677</v>
      </c>
      <c r="BM16" s="547">
        <f t="shared" si="54"/>
        <v>3.8500000000000001E-3</v>
      </c>
      <c r="BN16" s="547"/>
      <c r="BP16" s="473">
        <f t="shared" si="55"/>
        <v>3.85</v>
      </c>
      <c r="BQ16" s="547">
        <f t="shared" si="39"/>
        <v>6.3844305555555529E-5</v>
      </c>
      <c r="BR16" s="547">
        <f t="shared" si="40"/>
        <v>3.8434102777777771E-3</v>
      </c>
      <c r="BS16" s="547">
        <f t="shared" si="41"/>
        <v>1.2266713947100818E-5</v>
      </c>
      <c r="BT16" s="547">
        <f t="shared" si="42"/>
        <v>2.6199999999999999E-3</v>
      </c>
      <c r="BU16" s="473">
        <f t="shared" si="56"/>
        <v>6.5395212972804337</v>
      </c>
      <c r="BV16" s="180">
        <f t="shared" si="57"/>
        <v>2.3759463298040111E-2</v>
      </c>
      <c r="BW16" s="5">
        <f t="shared" si="58"/>
        <v>6.93E-2</v>
      </c>
      <c r="BX16" s="180">
        <f t="shared" si="59"/>
        <v>0.74468514586264001</v>
      </c>
      <c r="BY16" s="5">
        <f t="shared" si="60"/>
        <v>74.468514586264007</v>
      </c>
      <c r="CB16" s="582">
        <f t="shared" si="43"/>
        <v>-50</v>
      </c>
      <c r="CC16">
        <f t="shared" si="44"/>
        <v>-50</v>
      </c>
    </row>
    <row r="17" spans="5:81" x14ac:dyDescent="0.25">
      <c r="E17" s="177">
        <v>12</v>
      </c>
      <c r="F17" s="224">
        <f t="shared" si="45"/>
        <v>1.2E-2</v>
      </c>
      <c r="G17" s="224"/>
      <c r="H17" s="224">
        <f t="shared" si="0"/>
        <v>7.5600000000000001E-2</v>
      </c>
      <c r="I17" s="560">
        <f t="shared" si="1"/>
        <v>24</v>
      </c>
      <c r="J17" s="179">
        <f t="shared" si="2"/>
        <v>13.1</v>
      </c>
      <c r="K17" s="455">
        <f t="shared" si="3"/>
        <v>37.1</v>
      </c>
      <c r="L17" s="455"/>
      <c r="M17" s="224">
        <f t="shared" si="4"/>
        <v>0.35309973045822102</v>
      </c>
      <c r="N17" s="179">
        <f t="shared" si="5"/>
        <v>5.5295417789757408</v>
      </c>
      <c r="O17" s="179">
        <f t="shared" si="46"/>
        <v>7.5600000000000001E-2</v>
      </c>
      <c r="P17" s="224">
        <f t="shared" si="6"/>
        <v>0.87770504428186369</v>
      </c>
      <c r="Q17" s="224">
        <f t="shared" si="7"/>
        <v>6.3</v>
      </c>
      <c r="R17" s="224">
        <f t="shared" si="8"/>
        <v>0.97522782697984844</v>
      </c>
      <c r="S17" s="179">
        <f t="shared" si="9"/>
        <v>1293.0023197329356</v>
      </c>
      <c r="T17" s="179">
        <f t="shared" si="10"/>
        <v>6.3</v>
      </c>
      <c r="U17" s="224">
        <f t="shared" si="11"/>
        <v>1.9824427480916031E-2</v>
      </c>
      <c r="V17" s="224">
        <f t="shared" si="12"/>
        <v>4.5430979643765905E-2</v>
      </c>
      <c r="W17" s="224">
        <f t="shared" si="13"/>
        <v>8.3232329118349754E-2</v>
      </c>
      <c r="X17" s="204">
        <f t="shared" si="14"/>
        <v>350</v>
      </c>
      <c r="Y17" s="455">
        <f t="shared" si="47"/>
        <v>350</v>
      </c>
      <c r="AA17" s="224">
        <f t="shared" si="15"/>
        <v>0.44022823537648331</v>
      </c>
      <c r="AB17" s="180">
        <f t="shared" si="16"/>
        <v>1.8482864844050828</v>
      </c>
      <c r="AC17" s="180">
        <f t="shared" si="17"/>
        <v>0.28478376412494877</v>
      </c>
      <c r="AD17" s="180"/>
      <c r="AE17" s="180">
        <f t="shared" si="18"/>
        <v>1.217557251908397</v>
      </c>
      <c r="AF17" s="565">
        <f t="shared" si="61"/>
        <v>33.985515079450863</v>
      </c>
      <c r="AG17" s="547">
        <f t="shared" si="19"/>
        <v>0.1235820610687023</v>
      </c>
      <c r="AI17" s="180">
        <f t="shared" si="20"/>
        <v>9.5255409681514011E-2</v>
      </c>
      <c r="AJ17" s="180">
        <f t="shared" si="21"/>
        <v>0.28999999999999998</v>
      </c>
      <c r="AK17" s="180">
        <f t="shared" si="22"/>
        <v>1.0194202943311148</v>
      </c>
      <c r="AM17" s="564">
        <f t="shared" si="23"/>
        <v>12</v>
      </c>
      <c r="AN17" s="473">
        <f t="shared" si="24"/>
        <v>33.985515079450863</v>
      </c>
      <c r="AP17">
        <f t="shared" si="25"/>
        <v>12</v>
      </c>
      <c r="AQ17" s="473">
        <f t="shared" si="26"/>
        <v>33.985515079450863</v>
      </c>
      <c r="AR17" s="473"/>
      <c r="AS17" s="5">
        <f t="shared" si="48"/>
        <v>29.42430025445293</v>
      </c>
      <c r="AT17" s="5">
        <f t="shared" si="27"/>
        <v>0.6645833333333333</v>
      </c>
      <c r="AU17" s="5">
        <f t="shared" si="49"/>
        <v>28.759716921119598</v>
      </c>
      <c r="AV17" s="5">
        <f t="shared" si="28"/>
        <v>1.217557251908397</v>
      </c>
      <c r="AW17" s="180">
        <f t="shared" si="50"/>
        <v>2.2586206896551719E-2</v>
      </c>
      <c r="AX17" s="180">
        <f t="shared" si="29"/>
        <v>7.8599999999999989E-2</v>
      </c>
      <c r="AY17" s="180">
        <f t="shared" si="30"/>
        <v>0.28344999999999998</v>
      </c>
      <c r="AZ17" s="180">
        <f t="shared" si="51"/>
        <v>0.27729758334803317</v>
      </c>
      <c r="BA17" s="473">
        <f t="shared" si="31"/>
        <v>0.12658730158730158</v>
      </c>
      <c r="BB17" s="5">
        <f t="shared" si="32"/>
        <v>8.3882507686598815E-2</v>
      </c>
      <c r="BC17" s="5"/>
      <c r="BD17" s="180">
        <f t="shared" si="52"/>
        <v>2.5162803235463778E-2</v>
      </c>
      <c r="BE17" s="180">
        <f t="shared" si="33"/>
        <v>0.33105991401356138</v>
      </c>
      <c r="BF17" s="180"/>
      <c r="BG17" s="547">
        <f t="shared" si="34"/>
        <v>2.216083333333332E-4</v>
      </c>
      <c r="BH17" s="547">
        <f t="shared" si="35"/>
        <v>3.6565015673981184E-3</v>
      </c>
      <c r="BI17" s="547">
        <f t="shared" si="36"/>
        <v>4.2481893849313578E-4</v>
      </c>
      <c r="BJ17" s="547">
        <f t="shared" si="37"/>
        <v>2.6897351616041502E-3</v>
      </c>
      <c r="BK17">
        <f t="shared" si="38"/>
        <v>6.96E-3</v>
      </c>
      <c r="BL17" s="473">
        <f t="shared" si="53"/>
        <v>13.952664000828737</v>
      </c>
      <c r="BM17" s="547">
        <f t="shared" si="54"/>
        <v>4.1999999999999997E-3</v>
      </c>
      <c r="BN17" s="547"/>
      <c r="BP17" s="473">
        <f t="shared" si="55"/>
        <v>4.2</v>
      </c>
      <c r="BQ17" s="547">
        <f t="shared" si="39"/>
        <v>6.9648333333333301E-5</v>
      </c>
      <c r="BR17" s="547">
        <f t="shared" si="40"/>
        <v>3.8360233333333332E-3</v>
      </c>
      <c r="BS17" s="547">
        <f t="shared" si="41"/>
        <v>1.524753504135936E-5</v>
      </c>
      <c r="BT17" s="547">
        <f t="shared" si="42"/>
        <v>2.8581818181818174E-3</v>
      </c>
      <c r="BU17" s="473">
        <f t="shared" si="56"/>
        <v>6.7791010198898443</v>
      </c>
      <c r="BV17" s="180">
        <f t="shared" si="57"/>
        <v>2.4931765020718578E-2</v>
      </c>
      <c r="BW17" s="5">
        <f t="shared" si="58"/>
        <v>7.5600000000000001E-2</v>
      </c>
      <c r="BX17" s="180">
        <f t="shared" si="59"/>
        <v>0.75200112108267081</v>
      </c>
      <c r="BY17" s="5">
        <f t="shared" si="60"/>
        <v>75.200112108267078</v>
      </c>
      <c r="CB17" s="582">
        <f t="shared" si="43"/>
        <v>-50</v>
      </c>
      <c r="CC17">
        <f t="shared" si="44"/>
        <v>-50</v>
      </c>
    </row>
    <row r="18" spans="5:81" x14ac:dyDescent="0.25">
      <c r="E18" s="177">
        <v>13</v>
      </c>
      <c r="F18" s="224">
        <f t="shared" si="45"/>
        <v>1.3000000000000001E-2</v>
      </c>
      <c r="G18" s="224"/>
      <c r="H18" s="224">
        <f t="shared" si="0"/>
        <v>8.1900000000000001E-2</v>
      </c>
      <c r="I18" s="560">
        <f t="shared" si="1"/>
        <v>24</v>
      </c>
      <c r="J18" s="179">
        <f t="shared" si="2"/>
        <v>13.1</v>
      </c>
      <c r="K18" s="455">
        <f t="shared" si="3"/>
        <v>37.1</v>
      </c>
      <c r="L18" s="455"/>
      <c r="M18" s="224">
        <f t="shared" si="4"/>
        <v>0.35309973045822102</v>
      </c>
      <c r="N18" s="179">
        <f t="shared" si="5"/>
        <v>5.5295417789757408</v>
      </c>
      <c r="O18" s="179">
        <f t="shared" si="46"/>
        <v>8.1900000000000001E-2</v>
      </c>
      <c r="P18" s="224">
        <f t="shared" si="6"/>
        <v>0.87770504428186369</v>
      </c>
      <c r="Q18" s="224">
        <f t="shared" si="7"/>
        <v>6.3</v>
      </c>
      <c r="R18" s="224">
        <f t="shared" si="8"/>
        <v>0.97522782697984844</v>
      </c>
      <c r="S18" s="179">
        <f t="shared" si="9"/>
        <v>1192.6178995627654</v>
      </c>
      <c r="T18" s="179">
        <f t="shared" si="10"/>
        <v>6.3</v>
      </c>
      <c r="U18" s="224">
        <f t="shared" si="11"/>
        <v>2.1476463104325699E-2</v>
      </c>
      <c r="V18" s="224">
        <f t="shared" si="12"/>
        <v>4.9216894614079722E-2</v>
      </c>
      <c r="W18" s="224">
        <f t="shared" si="13"/>
        <v>9.0168356544878883E-2</v>
      </c>
      <c r="X18" s="204">
        <f t="shared" si="14"/>
        <v>350</v>
      </c>
      <c r="Y18" s="455">
        <f t="shared" si="47"/>
        <v>350</v>
      </c>
      <c r="AA18" s="224">
        <f t="shared" si="15"/>
        <v>0.44022823537648331</v>
      </c>
      <c r="AB18" s="180">
        <f t="shared" si="16"/>
        <v>1.8482864844050828</v>
      </c>
      <c r="AC18" s="180">
        <f t="shared" si="17"/>
        <v>0.28478376412494877</v>
      </c>
      <c r="AD18" s="180"/>
      <c r="AE18" s="180">
        <f t="shared" si="18"/>
        <v>1.217557251908397</v>
      </c>
      <c r="AF18" s="564">
        <f t="shared" si="61"/>
        <v>36.817641336071773</v>
      </c>
      <c r="AG18" s="547">
        <f t="shared" si="19"/>
        <v>0.1235820610687023</v>
      </c>
      <c r="AI18" s="180">
        <f t="shared" si="20"/>
        <v>9.9144973799612401E-2</v>
      </c>
      <c r="AJ18" s="180">
        <f t="shared" si="21"/>
        <v>0.28999999999999998</v>
      </c>
      <c r="AK18" s="180">
        <f t="shared" si="22"/>
        <v>1.0210386521920409</v>
      </c>
      <c r="AM18" s="564">
        <f t="shared" si="23"/>
        <v>13.000000000000002</v>
      </c>
      <c r="AN18" s="473">
        <f t="shared" si="24"/>
        <v>36.817641336071773</v>
      </c>
      <c r="AP18">
        <f t="shared" si="25"/>
        <v>13.000000000000002</v>
      </c>
      <c r="AQ18" s="473">
        <f t="shared" si="26"/>
        <v>36.817641336071773</v>
      </c>
      <c r="AR18" s="473"/>
      <c r="AS18" s="5">
        <f t="shared" si="48"/>
        <v>27.160892542571933</v>
      </c>
      <c r="AT18" s="5">
        <f t="shared" si="27"/>
        <v>0.6645833333333333</v>
      </c>
      <c r="AU18" s="5">
        <f t="shared" si="49"/>
        <v>26.4963092092386</v>
      </c>
      <c r="AV18" s="5">
        <f t="shared" si="28"/>
        <v>1.217557251908397</v>
      </c>
      <c r="AW18" s="180">
        <f t="shared" si="50"/>
        <v>2.4468390804597701E-2</v>
      </c>
      <c r="AX18" s="180">
        <f t="shared" si="29"/>
        <v>8.514999999999999E-2</v>
      </c>
      <c r="AY18" s="180">
        <f t="shared" si="30"/>
        <v>0.28290416666666662</v>
      </c>
      <c r="AZ18" s="180">
        <f t="shared" si="51"/>
        <v>0.30098531599334288</v>
      </c>
      <c r="BA18" s="473">
        <f t="shared" si="31"/>
        <v>0.13713624338624339</v>
      </c>
      <c r="BB18" s="5">
        <f t="shared" si="32"/>
        <v>8.3720977015302511E-2</v>
      </c>
      <c r="BC18" s="5"/>
      <c r="BD18" s="180">
        <f t="shared" si="52"/>
        <v>2.6190275973260676E-2</v>
      </c>
      <c r="BE18" s="180">
        <f t="shared" si="33"/>
        <v>0.33074100306903453</v>
      </c>
      <c r="BF18" s="180"/>
      <c r="BG18" s="547">
        <f t="shared" si="34"/>
        <v>2.4007569444444438E-4</v>
      </c>
      <c r="BH18" s="547">
        <f t="shared" si="35"/>
        <v>3.9612100313479622E-3</v>
      </c>
      <c r="BI18" s="547">
        <f t="shared" si="36"/>
        <v>4.6022051670089714E-4</v>
      </c>
      <c r="BJ18" s="547">
        <f t="shared" si="37"/>
        <v>2.9138797584044966E-3</v>
      </c>
      <c r="BK18">
        <f t="shared" si="38"/>
        <v>6.96E-3</v>
      </c>
      <c r="BL18" s="473">
        <f t="shared" si="53"/>
        <v>14.5353860008978</v>
      </c>
      <c r="BM18" s="547">
        <f t="shared" si="54"/>
        <v>4.5500000000000002E-3</v>
      </c>
      <c r="BN18" s="547"/>
      <c r="BP18" s="473">
        <f t="shared" si="55"/>
        <v>4.55</v>
      </c>
      <c r="BQ18" s="547">
        <f t="shared" si="39"/>
        <v>7.5452361111111101E-5</v>
      </c>
      <c r="BR18" s="547">
        <f t="shared" si="40"/>
        <v>3.8286363888888888E-3</v>
      </c>
      <c r="BS18" s="547">
        <f t="shared" si="41"/>
        <v>1.8625369864041648E-5</v>
      </c>
      <c r="BT18" s="547">
        <f t="shared" si="42"/>
        <v>3.0963636363636362E-3</v>
      </c>
      <c r="BU18" s="473">
        <f t="shared" si="56"/>
        <v>7.019077756227678</v>
      </c>
      <c r="BV18" s="180">
        <f t="shared" si="57"/>
        <v>2.6104463757125475E-2</v>
      </c>
      <c r="BW18" s="5">
        <f t="shared" si="58"/>
        <v>8.1900000000000001E-2</v>
      </c>
      <c r="BX18" s="180">
        <f t="shared" si="59"/>
        <v>0.75830199188963376</v>
      </c>
      <c r="BY18" s="5">
        <f t="shared" si="60"/>
        <v>75.830199188963377</v>
      </c>
      <c r="CB18" s="582">
        <f t="shared" si="43"/>
        <v>-50</v>
      </c>
      <c r="CC18">
        <f t="shared" si="44"/>
        <v>-50</v>
      </c>
    </row>
    <row r="19" spans="5:81" x14ac:dyDescent="0.25">
      <c r="E19" s="177">
        <v>14</v>
      </c>
      <c r="F19" s="224">
        <f t="shared" si="45"/>
        <v>1.4000000000000002E-2</v>
      </c>
      <c r="G19" s="224"/>
      <c r="H19" s="224">
        <f t="shared" si="0"/>
        <v>8.8200000000000014E-2</v>
      </c>
      <c r="I19" s="560">
        <f t="shared" si="1"/>
        <v>24</v>
      </c>
      <c r="J19" s="179">
        <f t="shared" si="2"/>
        <v>13.1</v>
      </c>
      <c r="K19" s="455">
        <f t="shared" si="3"/>
        <v>37.1</v>
      </c>
      <c r="L19" s="455"/>
      <c r="M19" s="224">
        <f t="shared" si="4"/>
        <v>0.35309973045822102</v>
      </c>
      <c r="N19" s="179">
        <f t="shared" si="5"/>
        <v>5.5295417789757408</v>
      </c>
      <c r="O19" s="179">
        <f t="shared" si="46"/>
        <v>8.8200000000000014E-2</v>
      </c>
      <c r="P19" s="224">
        <f t="shared" si="6"/>
        <v>0.87770504428186369</v>
      </c>
      <c r="Q19" s="224">
        <f t="shared" si="7"/>
        <v>6.3</v>
      </c>
      <c r="R19" s="224">
        <f t="shared" si="8"/>
        <v>0.97522782697984844</v>
      </c>
      <c r="S19" s="179">
        <f t="shared" si="9"/>
        <v>1106.5741390291194</v>
      </c>
      <c r="T19" s="179">
        <f t="shared" si="10"/>
        <v>6.3</v>
      </c>
      <c r="U19" s="224">
        <f t="shared" si="11"/>
        <v>2.3128498727735373E-2</v>
      </c>
      <c r="V19" s="224">
        <f t="shared" si="12"/>
        <v>5.3002809584393566E-2</v>
      </c>
      <c r="W19" s="224">
        <f t="shared" si="13"/>
        <v>9.7104383971408068E-2</v>
      </c>
      <c r="X19" s="204">
        <f t="shared" si="14"/>
        <v>350</v>
      </c>
      <c r="Y19" s="455">
        <f t="shared" si="47"/>
        <v>350</v>
      </c>
      <c r="AA19" s="224">
        <f t="shared" si="15"/>
        <v>0.44022823537648331</v>
      </c>
      <c r="AB19" s="180">
        <f t="shared" si="16"/>
        <v>1.8482864844050828</v>
      </c>
      <c r="AC19" s="180">
        <f t="shared" si="17"/>
        <v>0.28478376412494877</v>
      </c>
      <c r="AD19" s="180"/>
      <c r="AE19" s="180">
        <f t="shared" si="18"/>
        <v>1.217557251908397</v>
      </c>
      <c r="AF19" s="564">
        <f t="shared" si="61"/>
        <v>39.649767592692683</v>
      </c>
      <c r="AG19" s="547">
        <f t="shared" si="19"/>
        <v>0.1235820610687023</v>
      </c>
      <c r="AI19" s="180">
        <f t="shared" si="20"/>
        <v>0.10288760171108366</v>
      </c>
      <c r="AJ19" s="180">
        <f t="shared" si="21"/>
        <v>0.28999999999999998</v>
      </c>
      <c r="AK19" s="180">
        <f t="shared" si="22"/>
        <v>1.0226570100529673</v>
      </c>
      <c r="AM19" s="564">
        <f t="shared" si="23"/>
        <v>14.000000000000002</v>
      </c>
      <c r="AN19" s="473">
        <f t="shared" si="24"/>
        <v>39.649767592692683</v>
      </c>
      <c r="AP19">
        <f t="shared" si="25"/>
        <v>14.000000000000002</v>
      </c>
      <c r="AQ19" s="473">
        <f t="shared" si="26"/>
        <v>39.649767592692683</v>
      </c>
      <c r="AR19" s="473"/>
      <c r="AS19" s="5">
        <f t="shared" si="48"/>
        <v>25.22082878953108</v>
      </c>
      <c r="AT19" s="5">
        <f t="shared" si="27"/>
        <v>0.6645833333333333</v>
      </c>
      <c r="AU19" s="5">
        <f t="shared" si="49"/>
        <v>24.556245456197747</v>
      </c>
      <c r="AV19" s="5">
        <f t="shared" si="28"/>
        <v>1.217557251908397</v>
      </c>
      <c r="AW19" s="180">
        <f t="shared" si="50"/>
        <v>2.6350574712643678E-2</v>
      </c>
      <c r="AX19" s="180">
        <f t="shared" si="29"/>
        <v>9.1700000000000004E-2</v>
      </c>
      <c r="AY19" s="180">
        <f t="shared" si="30"/>
        <v>0.28235833333333332</v>
      </c>
      <c r="AZ19" s="180">
        <f t="shared" si="51"/>
        <v>0.3247646312310008</v>
      </c>
      <c r="BA19" s="473">
        <f t="shared" si="31"/>
        <v>0.1476851851851852</v>
      </c>
      <c r="BB19" s="5">
        <f t="shared" si="32"/>
        <v>8.3559446344006222E-2</v>
      </c>
      <c r="BC19" s="5"/>
      <c r="BD19" s="180">
        <f t="shared" si="52"/>
        <v>2.7178933835683188E-2</v>
      </c>
      <c r="BE19" s="180">
        <f t="shared" si="33"/>
        <v>0.33042178432354541</v>
      </c>
      <c r="BF19" s="180"/>
      <c r="BG19" s="547">
        <f t="shared" si="34"/>
        <v>2.5854305555555557E-4</v>
      </c>
      <c r="BH19" s="547">
        <f t="shared" si="35"/>
        <v>4.2659184952978059E-3</v>
      </c>
      <c r="BI19" s="547">
        <f t="shared" si="36"/>
        <v>4.9562209490865844E-4</v>
      </c>
      <c r="BJ19" s="547">
        <f t="shared" si="37"/>
        <v>3.1380243552048426E-3</v>
      </c>
      <c r="BK19">
        <f t="shared" si="38"/>
        <v>6.96E-3</v>
      </c>
      <c r="BL19" s="473">
        <f t="shared" si="53"/>
        <v>15.118108000966863</v>
      </c>
      <c r="BM19" s="547">
        <f t="shared" si="54"/>
        <v>4.9000000000000007E-3</v>
      </c>
      <c r="BN19" s="547"/>
      <c r="BP19" s="473">
        <f t="shared" si="55"/>
        <v>4.9000000000000004</v>
      </c>
      <c r="BQ19" s="547">
        <f t="shared" si="39"/>
        <v>8.1256388888888888E-5</v>
      </c>
      <c r="BR19" s="547">
        <f t="shared" si="40"/>
        <v>3.8212494444444449E-3</v>
      </c>
      <c r="BS19" s="547">
        <f t="shared" si="41"/>
        <v>2.2416438535897896E-5</v>
      </c>
      <c r="BT19" s="547">
        <f t="shared" si="42"/>
        <v>3.3345454545454551E-3</v>
      </c>
      <c r="BU19" s="473">
        <f t="shared" si="56"/>
        <v>7.2594677264146874</v>
      </c>
      <c r="BV19" s="180">
        <f t="shared" si="57"/>
        <v>2.7277575727381553E-2</v>
      </c>
      <c r="BW19" s="5">
        <f t="shared" si="58"/>
        <v>8.8200000000000014E-2</v>
      </c>
      <c r="BX19" s="180">
        <f t="shared" si="59"/>
        <v>0.76378465208017343</v>
      </c>
      <c r="BY19" s="5">
        <f t="shared" si="60"/>
        <v>76.378465208017346</v>
      </c>
      <c r="CB19" s="582">
        <f t="shared" si="43"/>
        <v>-50</v>
      </c>
      <c r="CC19">
        <f t="shared" si="44"/>
        <v>-50</v>
      </c>
    </row>
    <row r="20" spans="5:81" x14ac:dyDescent="0.25">
      <c r="E20" s="177">
        <v>15</v>
      </c>
      <c r="F20" s="224">
        <f t="shared" si="45"/>
        <v>1.4999999999999999E-2</v>
      </c>
      <c r="G20" s="224"/>
      <c r="H20" s="224">
        <f t="shared" si="0"/>
        <v>9.4500000000000001E-2</v>
      </c>
      <c r="I20" s="560">
        <f t="shared" si="1"/>
        <v>24</v>
      </c>
      <c r="J20" s="179">
        <f t="shared" si="2"/>
        <v>13.1</v>
      </c>
      <c r="K20" s="455">
        <f t="shared" si="3"/>
        <v>37.1</v>
      </c>
      <c r="L20" s="455"/>
      <c r="M20" s="224">
        <f t="shared" si="4"/>
        <v>0.35309973045822102</v>
      </c>
      <c r="N20" s="179">
        <f t="shared" si="5"/>
        <v>5.5295417789757408</v>
      </c>
      <c r="O20" s="179">
        <f t="shared" si="46"/>
        <v>9.4500000000000001E-2</v>
      </c>
      <c r="P20" s="224">
        <f t="shared" si="6"/>
        <v>0.87770504428186369</v>
      </c>
      <c r="Q20" s="224">
        <f t="shared" si="7"/>
        <v>6.3</v>
      </c>
      <c r="R20" s="224">
        <f t="shared" si="8"/>
        <v>0.97522782697984844</v>
      </c>
      <c r="S20" s="179">
        <f t="shared" si="9"/>
        <v>1032.0029062645228</v>
      </c>
      <c r="T20" s="179">
        <f t="shared" si="10"/>
        <v>6.3</v>
      </c>
      <c r="U20" s="224">
        <f t="shared" si="11"/>
        <v>2.4780534351145037E-2</v>
      </c>
      <c r="V20" s="224">
        <f t="shared" si="12"/>
        <v>5.6788724554707376E-2</v>
      </c>
      <c r="W20" s="224">
        <f t="shared" si="13"/>
        <v>0.10404041139793718</v>
      </c>
      <c r="X20" s="204">
        <f t="shared" si="14"/>
        <v>350</v>
      </c>
      <c r="Y20" s="455">
        <f t="shared" si="47"/>
        <v>350</v>
      </c>
      <c r="AA20" s="224">
        <f t="shared" si="15"/>
        <v>0.44022823537648331</v>
      </c>
      <c r="AB20" s="180">
        <f t="shared" si="16"/>
        <v>1.8482864844050828</v>
      </c>
      <c r="AC20" s="180">
        <f t="shared" si="17"/>
        <v>0.28478376412494877</v>
      </c>
      <c r="AD20" s="180"/>
      <c r="AE20" s="180">
        <f t="shared" si="18"/>
        <v>1.217557251908397</v>
      </c>
      <c r="AF20" s="564">
        <f t="shared" si="61"/>
        <v>42.481893849313579</v>
      </c>
      <c r="AG20" s="547">
        <f t="shared" si="19"/>
        <v>0.1235820610687023</v>
      </c>
      <c r="AI20" s="180">
        <f t="shared" si="20"/>
        <v>0.10649878563622846</v>
      </c>
      <c r="AJ20" s="180">
        <f t="shared" si="21"/>
        <v>0.28999999999999998</v>
      </c>
      <c r="AK20" s="180">
        <f t="shared" si="22"/>
        <v>1.0242753679138934</v>
      </c>
      <c r="AM20" s="564">
        <f t="shared" si="23"/>
        <v>15</v>
      </c>
      <c r="AN20" s="473">
        <f t="shared" si="24"/>
        <v>42.481893849313579</v>
      </c>
      <c r="AP20">
        <f t="shared" si="25"/>
        <v>15</v>
      </c>
      <c r="AQ20" s="473">
        <f t="shared" si="26"/>
        <v>42.481893849313579</v>
      </c>
      <c r="AR20" s="473"/>
      <c r="AS20" s="5">
        <f t="shared" si="48"/>
        <v>23.539440203562346</v>
      </c>
      <c r="AT20" s="5">
        <f t="shared" si="27"/>
        <v>0.6645833333333333</v>
      </c>
      <c r="AU20" s="5">
        <f t="shared" si="49"/>
        <v>22.874856870229014</v>
      </c>
      <c r="AV20" s="5">
        <f t="shared" si="28"/>
        <v>1.217557251908397</v>
      </c>
      <c r="AW20" s="180">
        <f t="shared" si="50"/>
        <v>2.8232758620689646E-2</v>
      </c>
      <c r="AX20" s="180">
        <f t="shared" si="29"/>
        <v>9.8249999999999976E-2</v>
      </c>
      <c r="AY20" s="180">
        <f t="shared" si="30"/>
        <v>0.28181249999999997</v>
      </c>
      <c r="AZ20" s="180">
        <f t="shared" si="51"/>
        <v>0.34863606121091145</v>
      </c>
      <c r="BA20" s="473">
        <f t="shared" si="31"/>
        <v>0.15823412698412695</v>
      </c>
      <c r="BB20" s="5">
        <f t="shared" si="32"/>
        <v>8.3397915672709919E-2</v>
      </c>
      <c r="BC20" s="5"/>
      <c r="BD20" s="180">
        <f t="shared" si="52"/>
        <v>2.8132869269474326E-2</v>
      </c>
      <c r="BE20" s="180">
        <f t="shared" si="33"/>
        <v>0.3301022568841358</v>
      </c>
      <c r="BF20" s="180"/>
      <c r="BG20" s="547">
        <f t="shared" si="34"/>
        <v>2.7701041666666651E-4</v>
      </c>
      <c r="BH20" s="547">
        <f t="shared" si="35"/>
        <v>4.5706269592476478E-3</v>
      </c>
      <c r="BI20" s="547">
        <f t="shared" si="36"/>
        <v>5.3102367311641963E-4</v>
      </c>
      <c r="BJ20" s="547">
        <f t="shared" si="37"/>
        <v>3.3621689520051882E-3</v>
      </c>
      <c r="BK20">
        <f t="shared" si="38"/>
        <v>6.96E-3</v>
      </c>
      <c r="BL20" s="473">
        <f t="shared" si="53"/>
        <v>15.700830001035923</v>
      </c>
      <c r="BM20" s="547">
        <f t="shared" si="54"/>
        <v>5.2499999999999995E-3</v>
      </c>
      <c r="BN20" s="547"/>
      <c r="BP20" s="473">
        <f t="shared" si="55"/>
        <v>5.2499999999999991</v>
      </c>
      <c r="BQ20" s="547">
        <f t="shared" si="39"/>
        <v>8.706041666666662E-5</v>
      </c>
      <c r="BR20" s="547">
        <f t="shared" si="40"/>
        <v>3.8138624999999996E-3</v>
      </c>
      <c r="BS20" s="547">
        <f t="shared" si="41"/>
        <v>2.6636347532648158E-5</v>
      </c>
      <c r="BT20" s="547">
        <f t="shared" si="42"/>
        <v>3.5727272727272721E-3</v>
      </c>
      <c r="BU20" s="473">
        <f t="shared" si="56"/>
        <v>7.5002865369265868</v>
      </c>
      <c r="BV20" s="180">
        <f t="shared" si="57"/>
        <v>2.8451116537962513E-2</v>
      </c>
      <c r="BW20" s="5">
        <f t="shared" si="58"/>
        <v>9.4500000000000001E-2</v>
      </c>
      <c r="BX20" s="180">
        <f t="shared" si="59"/>
        <v>0.76859814421304651</v>
      </c>
      <c r="BY20" s="5">
        <f t="shared" si="60"/>
        <v>76.859814421304648</v>
      </c>
      <c r="CB20" s="582">
        <f t="shared" si="43"/>
        <v>-50</v>
      </c>
      <c r="CC20">
        <f t="shared" si="44"/>
        <v>-50</v>
      </c>
    </row>
    <row r="21" spans="5:81" s="77" customFormat="1" x14ac:dyDescent="0.25">
      <c r="E21" s="196">
        <v>16</v>
      </c>
      <c r="F21" s="336">
        <f t="shared" si="45"/>
        <v>1.6E-2</v>
      </c>
      <c r="G21" s="224"/>
      <c r="H21" s="224">
        <f t="shared" si="0"/>
        <v>0.1008</v>
      </c>
      <c r="I21" s="560">
        <f t="shared" si="1"/>
        <v>24</v>
      </c>
      <c r="J21" s="179">
        <f t="shared" si="2"/>
        <v>13.1</v>
      </c>
      <c r="K21" s="554">
        <f t="shared" si="3"/>
        <v>37.1</v>
      </c>
      <c r="L21" s="554"/>
      <c r="M21" s="336">
        <f t="shared" si="4"/>
        <v>0.35309973045822102</v>
      </c>
      <c r="N21" s="179">
        <f t="shared" si="5"/>
        <v>5.5295417789757408</v>
      </c>
      <c r="O21" s="179">
        <f t="shared" si="46"/>
        <v>0.1008</v>
      </c>
      <c r="P21" s="336">
        <f t="shared" si="6"/>
        <v>0.87770504428186369</v>
      </c>
      <c r="Q21" s="224">
        <f t="shared" si="7"/>
        <v>6.3</v>
      </c>
      <c r="R21" s="224">
        <f t="shared" si="8"/>
        <v>0.97522782697984844</v>
      </c>
      <c r="S21" s="179">
        <f t="shared" si="9"/>
        <v>966.75310236853693</v>
      </c>
      <c r="T21" s="179">
        <f t="shared" si="10"/>
        <v>6.3</v>
      </c>
      <c r="U21" s="224">
        <f t="shared" si="11"/>
        <v>2.6432569974554707E-2</v>
      </c>
      <c r="V21" s="336">
        <f t="shared" si="12"/>
        <v>6.0574639525021207E-2</v>
      </c>
      <c r="W21" s="224">
        <f t="shared" si="13"/>
        <v>0.11097643882446634</v>
      </c>
      <c r="X21" s="556">
        <f t="shared" si="14"/>
        <v>350</v>
      </c>
      <c r="Y21" s="554">
        <f t="shared" si="47"/>
        <v>350</v>
      </c>
      <c r="AA21" s="336">
        <f t="shared" si="15"/>
        <v>0.44022823537648331</v>
      </c>
      <c r="AB21" s="180">
        <f t="shared" si="16"/>
        <v>1.8482864844050828</v>
      </c>
      <c r="AC21" s="557">
        <f t="shared" si="17"/>
        <v>0.28478376412494877</v>
      </c>
      <c r="AD21" s="557"/>
      <c r="AE21" s="180">
        <f t="shared" si="18"/>
        <v>1.217557251908397</v>
      </c>
      <c r="AF21" s="564">
        <f t="shared" si="61"/>
        <v>45.314020105934489</v>
      </c>
      <c r="AG21" s="547">
        <f t="shared" si="19"/>
        <v>0.1235820610687023</v>
      </c>
      <c r="AH21"/>
      <c r="AI21" s="180">
        <f t="shared" si="20"/>
        <v>0.10999147284278039</v>
      </c>
      <c r="AJ21" s="180">
        <f t="shared" si="21"/>
        <v>0.28999999999999998</v>
      </c>
      <c r="AK21" s="180">
        <f t="shared" si="22"/>
        <v>1.0258937257748197</v>
      </c>
      <c r="AM21" s="564">
        <f t="shared" si="23"/>
        <v>16</v>
      </c>
      <c r="AN21" s="473">
        <f t="shared" si="24"/>
        <v>45.314020105934489</v>
      </c>
      <c r="AP21">
        <f t="shared" si="25"/>
        <v>16</v>
      </c>
      <c r="AQ21" s="473">
        <f t="shared" si="26"/>
        <v>45.314020105934489</v>
      </c>
      <c r="AR21" s="473"/>
      <c r="AS21" s="5">
        <f t="shared" si="48"/>
        <v>22.068225190839698</v>
      </c>
      <c r="AT21" s="5">
        <f t="shared" si="27"/>
        <v>0.6645833333333333</v>
      </c>
      <c r="AU21" s="5">
        <f t="shared" si="49"/>
        <v>21.403641857506365</v>
      </c>
      <c r="AV21" s="5">
        <f t="shared" si="28"/>
        <v>1.217557251908397</v>
      </c>
      <c r="AW21" s="180">
        <f t="shared" si="50"/>
        <v>3.0114942528735627E-2</v>
      </c>
      <c r="AX21" s="180">
        <f t="shared" si="29"/>
        <v>0.10479999999999999</v>
      </c>
      <c r="AY21" s="180">
        <f t="shared" si="30"/>
        <v>0.28126666666666666</v>
      </c>
      <c r="AZ21" s="180">
        <f t="shared" si="51"/>
        <v>0.37260014221379473</v>
      </c>
      <c r="BA21" s="473">
        <f t="shared" si="31"/>
        <v>0.16878306878306878</v>
      </c>
      <c r="BB21" s="5">
        <f t="shared" si="32"/>
        <v>8.3236385001413629E-2</v>
      </c>
      <c r="BC21" s="5"/>
      <c r="BD21" s="180">
        <f t="shared" si="52"/>
        <v>2.9055502443121196E-2</v>
      </c>
      <c r="BE21" s="180">
        <f t="shared" si="33"/>
        <v>0.32978241985352164</v>
      </c>
      <c r="BF21" s="180"/>
      <c r="BG21" s="547">
        <f t="shared" si="34"/>
        <v>2.9547777777777761E-4</v>
      </c>
      <c r="BH21" s="547">
        <f t="shared" si="35"/>
        <v>4.8753354231974924E-3</v>
      </c>
      <c r="BI21" s="547">
        <f t="shared" si="36"/>
        <v>5.6642525132418115E-4</v>
      </c>
      <c r="BJ21" s="547">
        <f t="shared" si="37"/>
        <v>3.5863135488055343E-3</v>
      </c>
      <c r="BK21">
        <f t="shared" si="38"/>
        <v>6.96E-3</v>
      </c>
      <c r="BL21" s="473">
        <f t="shared" si="53"/>
        <v>16.283552001104983</v>
      </c>
      <c r="BM21" s="547">
        <f t="shared" si="54"/>
        <v>5.5999999999999999E-3</v>
      </c>
      <c r="BN21" s="547"/>
      <c r="BP21" s="473">
        <f t="shared" si="55"/>
        <v>5.6</v>
      </c>
      <c r="BQ21" s="547">
        <f t="shared" si="39"/>
        <v>9.2864444444444393E-5</v>
      </c>
      <c r="BR21" s="547">
        <f t="shared" si="40"/>
        <v>3.8064755555555553E-3</v>
      </c>
      <c r="BS21" s="547">
        <f t="shared" si="41"/>
        <v>3.1300154526602975E-5</v>
      </c>
      <c r="BT21" s="547">
        <f t="shared" si="42"/>
        <v>3.8109090909090909E-3</v>
      </c>
      <c r="BU21" s="473">
        <f t="shared" si="56"/>
        <v>7.7415492454356931</v>
      </c>
      <c r="BV21" s="180">
        <f t="shared" si="57"/>
        <v>2.9625101246540678E-2</v>
      </c>
      <c r="BW21" s="5">
        <f t="shared" si="58"/>
        <v>0.1008</v>
      </c>
      <c r="BX21" s="180">
        <f t="shared" si="59"/>
        <v>0.77285736439229769</v>
      </c>
      <c r="BY21" s="5">
        <f t="shared" si="60"/>
        <v>77.285736439229765</v>
      </c>
      <c r="CB21" s="582">
        <f t="shared" si="43"/>
        <v>-50</v>
      </c>
      <c r="CC21">
        <f t="shared" si="44"/>
        <v>-50</v>
      </c>
    </row>
    <row r="22" spans="5:81" x14ac:dyDescent="0.25">
      <c r="E22" s="177">
        <v>17</v>
      </c>
      <c r="F22" s="224">
        <f t="shared" si="45"/>
        <v>1.7000000000000001E-2</v>
      </c>
      <c r="G22" s="224"/>
      <c r="H22" s="224">
        <f t="shared" si="0"/>
        <v>0.1071</v>
      </c>
      <c r="I22" s="560">
        <f t="shared" si="1"/>
        <v>24</v>
      </c>
      <c r="J22" s="179">
        <f t="shared" si="2"/>
        <v>13.1</v>
      </c>
      <c r="K22" s="455">
        <f t="shared" si="3"/>
        <v>37.1</v>
      </c>
      <c r="L22" s="455"/>
      <c r="M22" s="224">
        <f t="shared" si="4"/>
        <v>0.35309973045822102</v>
      </c>
      <c r="N22" s="179">
        <f t="shared" si="5"/>
        <v>5.5295417789757408</v>
      </c>
      <c r="O22" s="179">
        <f t="shared" si="46"/>
        <v>0.1071</v>
      </c>
      <c r="P22" s="224">
        <f t="shared" si="6"/>
        <v>0.87770504428186369</v>
      </c>
      <c r="Q22" s="224">
        <f t="shared" si="7"/>
        <v>6.3</v>
      </c>
      <c r="R22" s="224">
        <f t="shared" si="8"/>
        <v>0.97522782697984844</v>
      </c>
      <c r="S22" s="179">
        <f t="shared" si="9"/>
        <v>909.17976935863089</v>
      </c>
      <c r="T22" s="179">
        <f t="shared" si="10"/>
        <v>6.3</v>
      </c>
      <c r="U22" s="224">
        <f t="shared" si="11"/>
        <v>2.8084605597964375E-2</v>
      </c>
      <c r="V22" s="224">
        <f t="shared" si="12"/>
        <v>6.4360554495335037E-2</v>
      </c>
      <c r="W22" s="224">
        <f t="shared" si="13"/>
        <v>0.11791246625099548</v>
      </c>
      <c r="X22" s="204">
        <f t="shared" si="14"/>
        <v>350</v>
      </c>
      <c r="Y22" s="455">
        <f t="shared" si="47"/>
        <v>350</v>
      </c>
      <c r="AA22" s="224">
        <f t="shared" si="15"/>
        <v>0.44022823537648331</v>
      </c>
      <c r="AB22" s="180">
        <f t="shared" si="16"/>
        <v>1.8482864844050828</v>
      </c>
      <c r="AC22" s="180">
        <f t="shared" si="17"/>
        <v>0.28478376412494877</v>
      </c>
      <c r="AD22" s="180"/>
      <c r="AE22" s="180">
        <f t="shared" si="18"/>
        <v>1.217557251908397</v>
      </c>
      <c r="AF22" s="564">
        <f t="shared" si="61"/>
        <v>48.146146362555392</v>
      </c>
      <c r="AG22" s="547">
        <f t="shared" si="19"/>
        <v>0.1235820610687023</v>
      </c>
      <c r="AI22" s="180">
        <f t="shared" si="20"/>
        <v>0.11337661511201</v>
      </c>
      <c r="AJ22" s="180">
        <f t="shared" si="21"/>
        <v>0.28999999999999998</v>
      </c>
      <c r="AK22" s="180">
        <f t="shared" si="22"/>
        <v>1.0275120836357459</v>
      </c>
      <c r="AM22" s="564">
        <f t="shared" si="23"/>
        <v>17</v>
      </c>
      <c r="AN22" s="473">
        <f t="shared" si="24"/>
        <v>48.146146362555392</v>
      </c>
      <c r="AP22">
        <f t="shared" si="25"/>
        <v>17</v>
      </c>
      <c r="AQ22" s="473">
        <f t="shared" si="26"/>
        <v>48.146146362555392</v>
      </c>
      <c r="AR22" s="473"/>
      <c r="AS22" s="5">
        <f t="shared" si="48"/>
        <v>20.770094297260894</v>
      </c>
      <c r="AT22" s="5">
        <f t="shared" si="27"/>
        <v>0.6645833333333333</v>
      </c>
      <c r="AU22" s="5">
        <f t="shared" si="49"/>
        <v>20.105510963927561</v>
      </c>
      <c r="AV22" s="5">
        <f t="shared" si="28"/>
        <v>1.217557251908397</v>
      </c>
      <c r="AW22" s="180">
        <f t="shared" si="50"/>
        <v>3.1997126436781598E-2</v>
      </c>
      <c r="AX22" s="180">
        <f t="shared" si="29"/>
        <v>0.11134999999999998</v>
      </c>
      <c r="AY22" s="180">
        <f t="shared" si="30"/>
        <v>0.28072083333333331</v>
      </c>
      <c r="AZ22" s="180">
        <f t="shared" si="51"/>
        <v>0.39665741469134513</v>
      </c>
      <c r="BA22" s="473">
        <f t="shared" si="31"/>
        <v>0.17933201058201056</v>
      </c>
      <c r="BB22" s="5">
        <f t="shared" si="32"/>
        <v>8.3074854330117326E-2</v>
      </c>
      <c r="BC22" s="5"/>
      <c r="BD22" s="180">
        <f t="shared" si="52"/>
        <v>2.9949726394595168E-2</v>
      </c>
      <c r="BE22" s="180">
        <f t="shared" si="33"/>
        <v>0.32946227233006348</v>
      </c>
      <c r="BF22" s="180"/>
      <c r="BG22" s="547">
        <f t="shared" si="34"/>
        <v>3.1394513888888866E-4</v>
      </c>
      <c r="BH22" s="547">
        <f t="shared" si="35"/>
        <v>5.1800438871473353E-3</v>
      </c>
      <c r="BI22" s="547">
        <f t="shared" si="36"/>
        <v>6.0182682953194234E-4</v>
      </c>
      <c r="BJ22" s="547">
        <f t="shared" si="37"/>
        <v>3.8104581456058799E-3</v>
      </c>
      <c r="BK22">
        <f t="shared" si="38"/>
        <v>6.96E-3</v>
      </c>
      <c r="BL22" s="473">
        <f t="shared" si="53"/>
        <v>16.866274001174048</v>
      </c>
      <c r="BM22" s="547">
        <f t="shared" si="54"/>
        <v>5.9500000000000004E-3</v>
      </c>
      <c r="BN22" s="547"/>
      <c r="BP22" s="473">
        <f t="shared" si="55"/>
        <v>5.95</v>
      </c>
      <c r="BQ22" s="547">
        <f t="shared" si="39"/>
        <v>9.8668472222222166E-5</v>
      </c>
      <c r="BR22" s="547">
        <f t="shared" si="40"/>
        <v>3.7990886111111122E-3</v>
      </c>
      <c r="BS22" s="547">
        <f t="shared" si="41"/>
        <v>3.6422422546950139E-5</v>
      </c>
      <c r="BT22" s="547">
        <f t="shared" si="42"/>
        <v>4.0490909090909084E-3</v>
      </c>
      <c r="BU22" s="473">
        <f t="shared" si="56"/>
        <v>7.9832704149711935</v>
      </c>
      <c r="BV22" s="180">
        <f t="shared" si="57"/>
        <v>3.0799544416145241E-2</v>
      </c>
      <c r="BW22" s="5">
        <f t="shared" si="58"/>
        <v>0.1071</v>
      </c>
      <c r="BX22" s="180">
        <f t="shared" si="59"/>
        <v>0.77665231203955132</v>
      </c>
      <c r="BY22" s="5">
        <f t="shared" si="60"/>
        <v>77.66523120395513</v>
      </c>
      <c r="CB22" s="582">
        <f t="shared" si="43"/>
        <v>-50</v>
      </c>
      <c r="CC22">
        <f t="shared" si="44"/>
        <v>-50</v>
      </c>
    </row>
    <row r="23" spans="5:81" x14ac:dyDescent="0.25">
      <c r="E23" s="177">
        <v>18</v>
      </c>
      <c r="F23" s="224">
        <f t="shared" si="45"/>
        <v>1.7999999999999999E-2</v>
      </c>
      <c r="G23" s="224"/>
      <c r="H23" s="224">
        <f t="shared" si="0"/>
        <v>0.11339999999999999</v>
      </c>
      <c r="I23" s="560">
        <f t="shared" si="1"/>
        <v>24</v>
      </c>
      <c r="J23" s="179">
        <f t="shared" si="2"/>
        <v>13.1</v>
      </c>
      <c r="K23" s="455">
        <f t="shared" si="3"/>
        <v>37.1</v>
      </c>
      <c r="L23" s="455"/>
      <c r="M23" s="224">
        <f t="shared" si="4"/>
        <v>0.35309973045822102</v>
      </c>
      <c r="N23" s="179">
        <f t="shared" si="5"/>
        <v>5.5295417789757408</v>
      </c>
      <c r="O23" s="179">
        <f t="shared" si="46"/>
        <v>0.11339999999999999</v>
      </c>
      <c r="P23" s="224">
        <f t="shared" si="6"/>
        <v>0.87770504428186369</v>
      </c>
      <c r="Q23" s="224">
        <f t="shared" si="7"/>
        <v>6.3</v>
      </c>
      <c r="R23" s="224">
        <f t="shared" si="8"/>
        <v>0.97522782697984844</v>
      </c>
      <c r="S23" s="179">
        <f t="shared" si="9"/>
        <v>858.00349547076235</v>
      </c>
      <c r="T23" s="179">
        <f t="shared" si="10"/>
        <v>6.3</v>
      </c>
      <c r="U23" s="224">
        <f t="shared" si="11"/>
        <v>2.9736641221374042E-2</v>
      </c>
      <c r="V23" s="224">
        <f t="shared" si="12"/>
        <v>6.814646946564884E-2</v>
      </c>
      <c r="W23" s="224">
        <f t="shared" si="13"/>
        <v>0.1248484936775246</v>
      </c>
      <c r="X23" s="204">
        <f t="shared" si="14"/>
        <v>350</v>
      </c>
      <c r="Y23" s="455">
        <f t="shared" si="47"/>
        <v>350</v>
      </c>
      <c r="AA23" s="224">
        <f t="shared" si="15"/>
        <v>0.44022823537648331</v>
      </c>
      <c r="AB23" s="180">
        <f t="shared" si="16"/>
        <v>1.8482864844050828</v>
      </c>
      <c r="AC23" s="180">
        <f t="shared" si="17"/>
        <v>0.28478376412494877</v>
      </c>
      <c r="AD23" s="180"/>
      <c r="AE23" s="180">
        <f t="shared" si="18"/>
        <v>1.217557251908397</v>
      </c>
      <c r="AF23" s="564">
        <f t="shared" si="61"/>
        <v>50.978272619176295</v>
      </c>
      <c r="AG23" s="547">
        <f t="shared" si="19"/>
        <v>0.1235820610687023</v>
      </c>
      <c r="AI23" s="180">
        <f t="shared" si="20"/>
        <v>0.11666357447973899</v>
      </c>
      <c r="AJ23" s="180">
        <f t="shared" si="21"/>
        <v>0.28999999999999998</v>
      </c>
      <c r="AK23" s="180">
        <f t="shared" si="22"/>
        <v>1.0291304414966722</v>
      </c>
      <c r="AM23" s="564">
        <f t="shared" si="23"/>
        <v>18</v>
      </c>
      <c r="AN23" s="473">
        <f t="shared" si="24"/>
        <v>50.978272619176295</v>
      </c>
      <c r="AP23">
        <f t="shared" si="25"/>
        <v>18</v>
      </c>
      <c r="AQ23" s="473">
        <f t="shared" si="26"/>
        <v>50.978272619176295</v>
      </c>
      <c r="AR23" s="473"/>
      <c r="AS23" s="5">
        <f t="shared" si="48"/>
        <v>19.616200169635288</v>
      </c>
      <c r="AT23" s="5">
        <f t="shared" si="27"/>
        <v>0.6645833333333333</v>
      </c>
      <c r="AU23" s="5">
        <f t="shared" si="49"/>
        <v>18.951616836301955</v>
      </c>
      <c r="AV23" s="5">
        <f t="shared" si="28"/>
        <v>1.217557251908397</v>
      </c>
      <c r="AW23" s="180">
        <f t="shared" si="50"/>
        <v>3.3879310344827579E-2</v>
      </c>
      <c r="AX23" s="180">
        <f t="shared" si="29"/>
        <v>0.11789999999999998</v>
      </c>
      <c r="AY23" s="180">
        <f t="shared" si="30"/>
        <v>0.28017499999999995</v>
      </c>
      <c r="AZ23" s="180">
        <f t="shared" si="51"/>
        <v>0.4208084233068618</v>
      </c>
      <c r="BA23" s="473">
        <f t="shared" si="31"/>
        <v>0.18988095238095237</v>
      </c>
      <c r="BB23" s="5">
        <f t="shared" si="32"/>
        <v>8.2913323658821023E-2</v>
      </c>
      <c r="BC23" s="5"/>
      <c r="BD23" s="180">
        <f t="shared" si="52"/>
        <v>3.0818014212469946E-2</v>
      </c>
      <c r="BE23" s="180">
        <f t="shared" si="33"/>
        <v>0.32914181340773663</v>
      </c>
      <c r="BF23" s="180"/>
      <c r="BG23" s="547">
        <f t="shared" si="34"/>
        <v>3.3241249999999982E-4</v>
      </c>
      <c r="BH23" s="547">
        <f t="shared" si="35"/>
        <v>5.4847523510971781E-3</v>
      </c>
      <c r="BI23" s="547">
        <f t="shared" si="36"/>
        <v>6.3722840773970365E-4</v>
      </c>
      <c r="BJ23" s="547">
        <f t="shared" si="37"/>
        <v>4.034602742406225E-3</v>
      </c>
      <c r="BK23">
        <f t="shared" si="38"/>
        <v>6.96E-3</v>
      </c>
      <c r="BL23" s="473">
        <f t="shared" si="53"/>
        <v>17.448996001243106</v>
      </c>
      <c r="BM23" s="547">
        <f t="shared" si="54"/>
        <v>6.2999999999999992E-3</v>
      </c>
      <c r="BN23" s="547"/>
      <c r="BP23" s="473">
        <f t="shared" si="55"/>
        <v>6.2999999999999989</v>
      </c>
      <c r="BQ23" s="547">
        <f t="shared" si="39"/>
        <v>1.0447249999999995E-4</v>
      </c>
      <c r="BR23" s="547">
        <f t="shared" si="40"/>
        <v>3.7917016666666661E-3</v>
      </c>
      <c r="BS23" s="547">
        <f t="shared" si="41"/>
        <v>4.2017265772353948E-5</v>
      </c>
      <c r="BT23" s="547">
        <f t="shared" si="42"/>
        <v>4.2872727272727264E-3</v>
      </c>
      <c r="BU23" s="473">
        <f t="shared" si="56"/>
        <v>8.2254641597117448</v>
      </c>
      <c r="BV23" s="180">
        <f t="shared" si="57"/>
        <v>3.1974460160954857E-2</v>
      </c>
      <c r="BW23" s="5">
        <f t="shared" si="58"/>
        <v>0.11339999999999999</v>
      </c>
      <c r="BX23" s="180">
        <f t="shared" si="59"/>
        <v>0.78005448738689342</v>
      </c>
      <c r="BY23" s="5">
        <f t="shared" si="60"/>
        <v>78.005448738689338</v>
      </c>
      <c r="CB23" s="582">
        <f t="shared" si="43"/>
        <v>-50</v>
      </c>
      <c r="CC23">
        <f t="shared" si="44"/>
        <v>-50</v>
      </c>
    </row>
    <row r="24" spans="5:81" x14ac:dyDescent="0.25">
      <c r="E24" s="177">
        <v>19</v>
      </c>
      <c r="F24" s="224">
        <f t="shared" si="45"/>
        <v>1.9000000000000003E-2</v>
      </c>
      <c r="G24" s="224"/>
      <c r="H24" s="224">
        <f t="shared" si="0"/>
        <v>0.11970000000000001</v>
      </c>
      <c r="I24" s="560">
        <f t="shared" si="1"/>
        <v>24</v>
      </c>
      <c r="J24" s="179">
        <f t="shared" si="2"/>
        <v>13.1</v>
      </c>
      <c r="K24" s="455">
        <f t="shared" si="3"/>
        <v>37.1</v>
      </c>
      <c r="L24" s="455"/>
      <c r="M24" s="224">
        <f t="shared" si="4"/>
        <v>0.35309973045822102</v>
      </c>
      <c r="N24" s="179">
        <f t="shared" si="5"/>
        <v>5.5295417789757408</v>
      </c>
      <c r="O24" s="179">
        <f t="shared" si="46"/>
        <v>0.11970000000000001</v>
      </c>
      <c r="P24" s="224">
        <f t="shared" si="6"/>
        <v>0.87770504428186369</v>
      </c>
      <c r="Q24" s="224">
        <f t="shared" si="7"/>
        <v>6.3</v>
      </c>
      <c r="R24" s="224">
        <f t="shared" si="8"/>
        <v>0.97522782697984844</v>
      </c>
      <c r="S24" s="179">
        <f t="shared" si="9"/>
        <v>812.21421878609215</v>
      </c>
      <c r="T24" s="179">
        <f t="shared" si="10"/>
        <v>6.3</v>
      </c>
      <c r="U24" s="224">
        <f t="shared" si="11"/>
        <v>3.1388676844783719E-2</v>
      </c>
      <c r="V24" s="224">
        <f t="shared" si="12"/>
        <v>7.1932384435962685E-2</v>
      </c>
      <c r="W24" s="224">
        <f t="shared" si="13"/>
        <v>0.13178452110405378</v>
      </c>
      <c r="X24" s="204">
        <f t="shared" si="14"/>
        <v>350</v>
      </c>
      <c r="Y24" s="455">
        <f t="shared" si="47"/>
        <v>350</v>
      </c>
      <c r="AA24" s="224">
        <f t="shared" si="15"/>
        <v>0.44022823537648331</v>
      </c>
      <c r="AB24" s="180">
        <f t="shared" si="16"/>
        <v>1.8482864844050828</v>
      </c>
      <c r="AC24" s="180">
        <f t="shared" si="17"/>
        <v>0.28478376412494877</v>
      </c>
      <c r="AD24" s="180"/>
      <c r="AE24" s="180">
        <f t="shared" si="18"/>
        <v>1.217557251908397</v>
      </c>
      <c r="AF24" s="564">
        <f t="shared" si="61"/>
        <v>53.810398875797212</v>
      </c>
      <c r="AG24" s="547">
        <f t="shared" si="19"/>
        <v>0.1235820610687023</v>
      </c>
      <c r="AI24" s="180">
        <f t="shared" si="20"/>
        <v>0.11986042869321954</v>
      </c>
      <c r="AJ24" s="180">
        <f t="shared" si="21"/>
        <v>0.28999999999999998</v>
      </c>
      <c r="AK24" s="180">
        <f t="shared" si="22"/>
        <v>1.0307487993575983</v>
      </c>
      <c r="AM24" s="564">
        <f t="shared" si="23"/>
        <v>19.000000000000004</v>
      </c>
      <c r="AN24" s="473">
        <f t="shared" si="24"/>
        <v>53.810398875797212</v>
      </c>
      <c r="AP24">
        <f t="shared" si="25"/>
        <v>19.000000000000004</v>
      </c>
      <c r="AQ24" s="473">
        <f t="shared" si="26"/>
        <v>53.810398875797212</v>
      </c>
      <c r="AR24" s="473"/>
      <c r="AS24" s="5">
        <f t="shared" si="48"/>
        <v>18.583768581759742</v>
      </c>
      <c r="AT24" s="5">
        <f t="shared" si="27"/>
        <v>0.6645833333333333</v>
      </c>
      <c r="AU24" s="5">
        <f t="shared" si="49"/>
        <v>17.919185248426409</v>
      </c>
      <c r="AV24" s="5">
        <f t="shared" si="28"/>
        <v>1.217557251908397</v>
      </c>
      <c r="AW24" s="180">
        <f t="shared" si="50"/>
        <v>3.5761494252873567E-2</v>
      </c>
      <c r="AX24" s="180">
        <f t="shared" si="29"/>
        <v>0.12444999999999999</v>
      </c>
      <c r="AY24" s="180">
        <f t="shared" si="30"/>
        <v>0.27962916666666665</v>
      </c>
      <c r="AZ24" s="180">
        <f t="shared" si="51"/>
        <v>0.4450537169763526</v>
      </c>
      <c r="BA24" s="473">
        <f t="shared" si="31"/>
        <v>0.20042989417989418</v>
      </c>
      <c r="BB24" s="5">
        <f t="shared" si="32"/>
        <v>8.2751792987524719E-2</v>
      </c>
      <c r="BC24" s="5"/>
      <c r="BD24" s="180">
        <f t="shared" si="52"/>
        <v>3.166249972584112E-2</v>
      </c>
      <c r="BE24" s="180">
        <f t="shared" si="33"/>
        <v>0.32882104217610186</v>
      </c>
      <c r="BF24" s="180"/>
      <c r="BG24" s="547">
        <f t="shared" si="34"/>
        <v>3.5087986111111109E-4</v>
      </c>
      <c r="BH24" s="547">
        <f t="shared" si="35"/>
        <v>5.7894608150470227E-3</v>
      </c>
      <c r="BI24" s="547">
        <f t="shared" si="36"/>
        <v>6.7262998594746506E-4</v>
      </c>
      <c r="BJ24" s="547">
        <f t="shared" si="37"/>
        <v>4.2587473392065719E-3</v>
      </c>
      <c r="BK24">
        <f t="shared" si="38"/>
        <v>6.96E-3</v>
      </c>
      <c r="BL24" s="473">
        <f t="shared" si="53"/>
        <v>18.031718001312171</v>
      </c>
      <c r="BM24" s="547">
        <f t="shared" si="54"/>
        <v>6.6500000000000005E-3</v>
      </c>
      <c r="BN24" s="547"/>
      <c r="BP24" s="473">
        <f t="shared" si="55"/>
        <v>6.65</v>
      </c>
      <c r="BQ24" s="547">
        <f t="shared" si="39"/>
        <v>1.1027652777777778E-4</v>
      </c>
      <c r="BR24" s="547">
        <f t="shared" si="40"/>
        <v>3.7843147222222221E-3</v>
      </c>
      <c r="BS24" s="547">
        <f t="shared" si="41"/>
        <v>4.8098388662128596E-5</v>
      </c>
      <c r="BT24" s="547">
        <f t="shared" si="42"/>
        <v>4.525454545454546E-3</v>
      </c>
      <c r="BU24" s="473">
        <f t="shared" si="56"/>
        <v>8.4681441841166745</v>
      </c>
      <c r="BV24" s="180">
        <f t="shared" si="57"/>
        <v>3.3149862185428848E-2</v>
      </c>
      <c r="BW24" s="5">
        <f t="shared" si="58"/>
        <v>0.11970000000000001</v>
      </c>
      <c r="BX24" s="180">
        <f t="shared" si="59"/>
        <v>0.78312141266301372</v>
      </c>
      <c r="BY24" s="5">
        <f t="shared" si="60"/>
        <v>78.312141266301367</v>
      </c>
      <c r="CB24" s="582">
        <f t="shared" si="43"/>
        <v>-50</v>
      </c>
      <c r="CC24">
        <f t="shared" si="44"/>
        <v>-50</v>
      </c>
    </row>
    <row r="25" spans="5:81" x14ac:dyDescent="0.25">
      <c r="E25" s="177">
        <v>20</v>
      </c>
      <c r="F25" s="224">
        <f t="shared" si="45"/>
        <v>2.0000000000000004E-2</v>
      </c>
      <c r="G25" s="224"/>
      <c r="H25" s="224">
        <f t="shared" si="0"/>
        <v>0.12600000000000003</v>
      </c>
      <c r="I25" s="560">
        <f t="shared" si="1"/>
        <v>24</v>
      </c>
      <c r="J25" s="179">
        <f t="shared" si="2"/>
        <v>13.1</v>
      </c>
      <c r="K25" s="455">
        <f t="shared" si="3"/>
        <v>37.1</v>
      </c>
      <c r="L25" s="455"/>
      <c r="M25" s="224">
        <f t="shared" si="4"/>
        <v>0.35309973045822102</v>
      </c>
      <c r="N25" s="179">
        <f t="shared" si="5"/>
        <v>5.5295417789757408</v>
      </c>
      <c r="O25" s="179">
        <f t="shared" si="46"/>
        <v>0.12600000000000003</v>
      </c>
      <c r="P25" s="224">
        <f t="shared" si="6"/>
        <v>0.87770504428186369</v>
      </c>
      <c r="Q25" s="224">
        <f t="shared" si="7"/>
        <v>6.3</v>
      </c>
      <c r="R25" s="224">
        <f t="shared" si="8"/>
        <v>0.97522782697984844</v>
      </c>
      <c r="S25" s="179">
        <f t="shared" si="9"/>
        <v>771.00388976968509</v>
      </c>
      <c r="T25" s="179">
        <f t="shared" si="10"/>
        <v>6.3</v>
      </c>
      <c r="U25" s="224">
        <f t="shared" si="11"/>
        <v>3.3040712468193394E-2</v>
      </c>
      <c r="V25" s="224">
        <f t="shared" si="12"/>
        <v>7.5718299406276529E-2</v>
      </c>
      <c r="W25" s="224">
        <f t="shared" si="13"/>
        <v>0.13872054853058297</v>
      </c>
      <c r="X25" s="204">
        <f t="shared" si="14"/>
        <v>350</v>
      </c>
      <c r="Y25" s="455">
        <f t="shared" si="47"/>
        <v>350</v>
      </c>
      <c r="AA25" s="224">
        <f t="shared" si="15"/>
        <v>0.44022823537648331</v>
      </c>
      <c r="AB25" s="180">
        <f t="shared" si="16"/>
        <v>1.8482864844050828</v>
      </c>
      <c r="AC25" s="180">
        <f t="shared" si="17"/>
        <v>0.28478376412494877</v>
      </c>
      <c r="AD25" s="180"/>
      <c r="AE25" s="180">
        <f t="shared" si="18"/>
        <v>1.217557251908397</v>
      </c>
      <c r="AF25" s="564">
        <f t="shared" si="61"/>
        <v>56.642525132418122</v>
      </c>
      <c r="AG25" s="547">
        <f t="shared" si="19"/>
        <v>0.1235820610687023</v>
      </c>
      <c r="AI25" s="180">
        <f t="shared" si="20"/>
        <v>0.12297420511088951</v>
      </c>
      <c r="AJ25" s="180">
        <f t="shared" si="21"/>
        <v>0.28999999999999998</v>
      </c>
      <c r="AK25" s="180">
        <f t="shared" si="22"/>
        <v>1.0323671572185247</v>
      </c>
      <c r="AM25" s="564">
        <f t="shared" si="23"/>
        <v>20.000000000000004</v>
      </c>
      <c r="AN25" s="473">
        <f t="shared" si="24"/>
        <v>56.642525132418122</v>
      </c>
      <c r="AP25">
        <f t="shared" si="25"/>
        <v>20.000000000000004</v>
      </c>
      <c r="AQ25" s="473">
        <f t="shared" si="26"/>
        <v>56.642525132418122</v>
      </c>
      <c r="AR25" s="473"/>
      <c r="AS25" s="5">
        <f t="shared" si="48"/>
        <v>17.654580152671752</v>
      </c>
      <c r="AT25" s="5">
        <f t="shared" si="27"/>
        <v>0.6645833333333333</v>
      </c>
      <c r="AU25" s="5">
        <f t="shared" si="49"/>
        <v>16.989996819338419</v>
      </c>
      <c r="AV25" s="5">
        <f t="shared" si="28"/>
        <v>1.217557251908397</v>
      </c>
      <c r="AW25" s="180">
        <f t="shared" si="50"/>
        <v>3.7643678160919548E-2</v>
      </c>
      <c r="AX25" s="180">
        <f t="shared" si="29"/>
        <v>0.13100000000000001</v>
      </c>
      <c r="AY25" s="180">
        <f t="shared" si="30"/>
        <v>0.27908333333333329</v>
      </c>
      <c r="AZ25" s="180">
        <f t="shared" si="51"/>
        <v>0.46939384891012254</v>
      </c>
      <c r="BA25" s="473">
        <f t="shared" si="31"/>
        <v>0.21097883597883599</v>
      </c>
      <c r="BB25" s="5">
        <f t="shared" si="32"/>
        <v>8.2590262316228444E-2</v>
      </c>
      <c r="BC25" s="5"/>
      <c r="BD25" s="180">
        <f t="shared" si="52"/>
        <v>3.2485039291615114E-2</v>
      </c>
      <c r="BE25" s="180">
        <f t="shared" si="33"/>
        <v>0.32849995772027463</v>
      </c>
      <c r="BF25" s="180"/>
      <c r="BG25" s="547">
        <f t="shared" si="34"/>
        <v>3.6934722222222219E-4</v>
      </c>
      <c r="BH25" s="547">
        <f t="shared" si="35"/>
        <v>6.0941692789968664E-3</v>
      </c>
      <c r="BI25" s="547">
        <f t="shared" si="36"/>
        <v>7.0803156415522647E-4</v>
      </c>
      <c r="BJ25" s="547">
        <f t="shared" si="37"/>
        <v>4.4828919360069188E-3</v>
      </c>
      <c r="BK25">
        <f t="shared" si="38"/>
        <v>6.96E-3</v>
      </c>
      <c r="BL25" s="473">
        <f t="shared" si="53"/>
        <v>18.614440001381237</v>
      </c>
      <c r="BM25" s="547">
        <f t="shared" si="54"/>
        <v>7.000000000000001E-3</v>
      </c>
      <c r="BN25" s="547"/>
      <c r="BP25" s="473">
        <f t="shared" si="55"/>
        <v>7.0000000000000009</v>
      </c>
      <c r="BQ25" s="547">
        <f t="shared" si="39"/>
        <v>1.1608055555555557E-4</v>
      </c>
      <c r="BR25" s="547">
        <f t="shared" si="40"/>
        <v>3.7769277777777777E-3</v>
      </c>
      <c r="BS25" s="547">
        <f t="shared" si="41"/>
        <v>5.4679119709165604E-5</v>
      </c>
      <c r="BT25" s="547">
        <f t="shared" si="42"/>
        <v>4.763636363636364E-3</v>
      </c>
      <c r="BU25" s="473">
        <f t="shared" si="56"/>
        <v>8.7113238166788634</v>
      </c>
      <c r="BV25" s="180">
        <f t="shared" si="57"/>
        <v>3.4325763818060101E-2</v>
      </c>
      <c r="BW25" s="5">
        <f t="shared" si="58"/>
        <v>0.12600000000000003</v>
      </c>
      <c r="BX25" s="180">
        <f t="shared" si="59"/>
        <v>0.78589988907201813</v>
      </c>
      <c r="BY25" s="5">
        <f t="shared" si="60"/>
        <v>78.589988907201814</v>
      </c>
      <c r="CB25" s="582">
        <f t="shared" si="43"/>
        <v>-50</v>
      </c>
      <c r="CC25">
        <f t="shared" si="44"/>
        <v>-50</v>
      </c>
    </row>
    <row r="26" spans="5:81" x14ac:dyDescent="0.25">
      <c r="E26" s="177">
        <v>21</v>
      </c>
      <c r="F26" s="224">
        <f t="shared" si="45"/>
        <v>2.1000000000000001E-2</v>
      </c>
      <c r="G26" s="224"/>
      <c r="H26" s="224">
        <f t="shared" si="0"/>
        <v>0.1323</v>
      </c>
      <c r="I26" s="560">
        <f t="shared" si="1"/>
        <v>24</v>
      </c>
      <c r="J26" s="179">
        <f t="shared" si="2"/>
        <v>13.1</v>
      </c>
      <c r="K26" s="455">
        <f t="shared" si="3"/>
        <v>37.1</v>
      </c>
      <c r="L26" s="455"/>
      <c r="M26" s="224">
        <f t="shared" si="4"/>
        <v>0.35309973045822102</v>
      </c>
      <c r="N26" s="179">
        <f t="shared" si="5"/>
        <v>5.5295417789757408</v>
      </c>
      <c r="O26" s="179">
        <f t="shared" si="46"/>
        <v>0.1323</v>
      </c>
      <c r="P26" s="224">
        <f t="shared" si="6"/>
        <v>0.87770504428186369</v>
      </c>
      <c r="Q26" s="224">
        <f t="shared" si="7"/>
        <v>6.3</v>
      </c>
      <c r="R26" s="224">
        <f t="shared" si="8"/>
        <v>0.97522782697984844</v>
      </c>
      <c r="S26" s="179">
        <f t="shared" si="9"/>
        <v>733.71837308386455</v>
      </c>
      <c r="T26" s="179">
        <f t="shared" si="10"/>
        <v>6.3</v>
      </c>
      <c r="U26" s="224">
        <f t="shared" si="11"/>
        <v>3.4692748091603054E-2</v>
      </c>
      <c r="V26" s="224">
        <f t="shared" si="12"/>
        <v>7.9504214376590332E-2</v>
      </c>
      <c r="W26" s="224">
        <f t="shared" si="13"/>
        <v>0.14565657595711207</v>
      </c>
      <c r="X26" s="204">
        <f t="shared" si="14"/>
        <v>350</v>
      </c>
      <c r="Y26" s="455">
        <f t="shared" si="47"/>
        <v>350</v>
      </c>
      <c r="AA26" s="224">
        <f t="shared" si="15"/>
        <v>0.44022823537648331</v>
      </c>
      <c r="AB26" s="180">
        <f t="shared" si="16"/>
        <v>1.8482864844050828</v>
      </c>
      <c r="AC26" s="180">
        <f t="shared" si="17"/>
        <v>0.28478376412494877</v>
      </c>
      <c r="AD26" s="180"/>
      <c r="AE26" s="180">
        <f t="shared" si="18"/>
        <v>1.217557251908397</v>
      </c>
      <c r="AF26" s="564">
        <f t="shared" si="61"/>
        <v>59.474651389039018</v>
      </c>
      <c r="AG26" s="547">
        <f t="shared" si="19"/>
        <v>0.1235820610687023</v>
      </c>
      <c r="AI26" s="180">
        <f t="shared" si="20"/>
        <v>0.12601106252543021</v>
      </c>
      <c r="AJ26" s="180">
        <f t="shared" si="21"/>
        <v>0.28999999999999998</v>
      </c>
      <c r="AK26" s="180">
        <f t="shared" si="22"/>
        <v>1.0339855150794508</v>
      </c>
      <c r="AM26" s="564">
        <f t="shared" si="23"/>
        <v>21</v>
      </c>
      <c r="AN26" s="473">
        <f t="shared" si="24"/>
        <v>59.474651389039018</v>
      </c>
      <c r="AP26">
        <f t="shared" si="25"/>
        <v>21</v>
      </c>
      <c r="AQ26" s="473">
        <f t="shared" si="26"/>
        <v>59.474651389039018</v>
      </c>
      <c r="AR26" s="473"/>
      <c r="AS26" s="5">
        <f t="shared" si="48"/>
        <v>16.813885859687389</v>
      </c>
      <c r="AT26" s="5">
        <f t="shared" si="27"/>
        <v>0.6645833333333333</v>
      </c>
      <c r="AU26" s="5">
        <f t="shared" si="49"/>
        <v>16.149302526354056</v>
      </c>
      <c r="AV26" s="5">
        <f t="shared" si="28"/>
        <v>1.217557251908397</v>
      </c>
      <c r="AW26" s="180">
        <f t="shared" si="50"/>
        <v>3.9525862068965509E-2</v>
      </c>
      <c r="AX26" s="180">
        <f t="shared" si="29"/>
        <v>0.13754999999999998</v>
      </c>
      <c r="AY26" s="180">
        <f t="shared" si="30"/>
        <v>0.27853749999999999</v>
      </c>
      <c r="AZ26" s="180">
        <f t="shared" si="51"/>
        <v>0.49382937665484894</v>
      </c>
      <c r="BA26" s="473">
        <f t="shared" si="31"/>
        <v>0.22152777777777777</v>
      </c>
      <c r="BB26" s="5">
        <f t="shared" si="32"/>
        <v>8.2428731644932141E-2</v>
      </c>
      <c r="BC26" s="5"/>
      <c r="BD26" s="180">
        <f t="shared" si="52"/>
        <v>3.3287259825144307E-2</v>
      </c>
      <c r="BE26" s="180">
        <f t="shared" si="33"/>
        <v>0.32817855912089483</v>
      </c>
      <c r="BF26" s="180"/>
      <c r="BG26" s="547">
        <f t="shared" si="34"/>
        <v>3.8781458333333319E-4</v>
      </c>
      <c r="BH26" s="547">
        <f t="shared" si="35"/>
        <v>6.3988777429467092E-3</v>
      </c>
      <c r="BI26" s="547">
        <f t="shared" si="36"/>
        <v>7.4343314236298766E-4</v>
      </c>
      <c r="BJ26" s="547">
        <f t="shared" si="37"/>
        <v>4.707036532807264E-3</v>
      </c>
      <c r="BK26">
        <f t="shared" si="38"/>
        <v>6.96E-3</v>
      </c>
      <c r="BL26" s="473">
        <f t="shared" si="53"/>
        <v>19.197162001450295</v>
      </c>
      <c r="BM26" s="547">
        <f t="shared" si="54"/>
        <v>7.3499999999999998E-3</v>
      </c>
      <c r="BN26" s="547"/>
      <c r="BP26" s="473">
        <f t="shared" si="55"/>
        <v>7.35</v>
      </c>
      <c r="BQ26" s="547">
        <f t="shared" si="39"/>
        <v>1.2188458333333328E-4</v>
      </c>
      <c r="BR26" s="547">
        <f t="shared" si="40"/>
        <v>3.7695408333333338E-3</v>
      </c>
      <c r="BS26" s="547">
        <f t="shared" si="41"/>
        <v>6.1772440796337898E-5</v>
      </c>
      <c r="BT26" s="547">
        <f t="shared" si="42"/>
        <v>5.0018181818181819E-3</v>
      </c>
      <c r="BU26" s="473">
        <f t="shared" si="56"/>
        <v>8.9550160392811851</v>
      </c>
      <c r="BV26" s="180">
        <f t="shared" si="57"/>
        <v>3.5502178040731483E-2</v>
      </c>
      <c r="BW26" s="5">
        <f t="shared" si="58"/>
        <v>0.1323</v>
      </c>
      <c r="BX26" s="180">
        <f t="shared" si="59"/>
        <v>0.78842838361660672</v>
      </c>
      <c r="BY26" s="5">
        <f t="shared" si="60"/>
        <v>78.842838361660668</v>
      </c>
      <c r="CB26" s="582">
        <f t="shared" si="43"/>
        <v>-50</v>
      </c>
      <c r="CC26">
        <f t="shared" si="44"/>
        <v>-50</v>
      </c>
    </row>
    <row r="27" spans="5:81" x14ac:dyDescent="0.25">
      <c r="E27" s="177">
        <v>22</v>
      </c>
      <c r="F27" s="224">
        <f t="shared" si="45"/>
        <v>2.2000000000000002E-2</v>
      </c>
      <c r="G27" s="224"/>
      <c r="H27" s="224">
        <f t="shared" si="0"/>
        <v>0.1386</v>
      </c>
      <c r="I27" s="560">
        <f t="shared" si="1"/>
        <v>24</v>
      </c>
      <c r="J27" s="179">
        <f t="shared" si="2"/>
        <v>13.1</v>
      </c>
      <c r="K27" s="455">
        <f t="shared" si="3"/>
        <v>37.1</v>
      </c>
      <c r="L27" s="455"/>
      <c r="M27" s="224">
        <f t="shared" si="4"/>
        <v>0.35309973045822102</v>
      </c>
      <c r="N27" s="179">
        <f t="shared" si="5"/>
        <v>5.5295417789757408</v>
      </c>
      <c r="O27" s="179">
        <f t="shared" si="46"/>
        <v>0.1386</v>
      </c>
      <c r="P27" s="224">
        <f t="shared" si="6"/>
        <v>0.87770504428186369</v>
      </c>
      <c r="Q27" s="224">
        <f t="shared" si="7"/>
        <v>6.3</v>
      </c>
      <c r="R27" s="224">
        <f t="shared" si="8"/>
        <v>0.97522782697984844</v>
      </c>
      <c r="S27" s="179">
        <f t="shared" si="9"/>
        <v>699.82246708883724</v>
      </c>
      <c r="T27" s="179">
        <f t="shared" si="10"/>
        <v>6.3</v>
      </c>
      <c r="U27" s="224">
        <f t="shared" si="11"/>
        <v>3.6344783715012721E-2</v>
      </c>
      <c r="V27" s="224">
        <f t="shared" si="12"/>
        <v>8.3290129346904149E-2</v>
      </c>
      <c r="W27" s="224">
        <f t="shared" si="13"/>
        <v>0.1525926033836412</v>
      </c>
      <c r="X27" s="204">
        <f t="shared" si="14"/>
        <v>350</v>
      </c>
      <c r="Y27" s="455">
        <f t="shared" si="47"/>
        <v>350</v>
      </c>
      <c r="AA27" s="224">
        <f t="shared" si="15"/>
        <v>0.44022823537648331</v>
      </c>
      <c r="AB27" s="180">
        <f t="shared" si="16"/>
        <v>1.8482864844050828</v>
      </c>
      <c r="AC27" s="180">
        <f t="shared" si="17"/>
        <v>0.28478376412494877</v>
      </c>
      <c r="AD27" s="180"/>
      <c r="AE27" s="180">
        <f t="shared" si="18"/>
        <v>1.217557251908397</v>
      </c>
      <c r="AF27" s="564">
        <f t="shared" si="61"/>
        <v>62.30677764565992</v>
      </c>
      <c r="AG27" s="547">
        <f t="shared" si="19"/>
        <v>0.1235820610687023</v>
      </c>
      <c r="AI27" s="180">
        <f t="shared" si="20"/>
        <v>0.128976434416992</v>
      </c>
      <c r="AJ27" s="180">
        <f t="shared" si="21"/>
        <v>0.28999999999999998</v>
      </c>
      <c r="AK27" s="180">
        <f t="shared" si="22"/>
        <v>1.0356038729403771</v>
      </c>
      <c r="AM27" s="564">
        <f t="shared" si="23"/>
        <v>22.000000000000004</v>
      </c>
      <c r="AN27" s="473">
        <f t="shared" si="24"/>
        <v>62.30677764565992</v>
      </c>
      <c r="AP27">
        <f t="shared" si="25"/>
        <v>22.000000000000004</v>
      </c>
      <c r="AQ27" s="473">
        <f t="shared" si="26"/>
        <v>62.30677764565992</v>
      </c>
      <c r="AR27" s="473"/>
      <c r="AS27" s="5">
        <f t="shared" si="48"/>
        <v>16.049618320610691</v>
      </c>
      <c r="AT27" s="5">
        <f t="shared" si="27"/>
        <v>0.6645833333333333</v>
      </c>
      <c r="AU27" s="5">
        <f t="shared" si="49"/>
        <v>15.385034987277358</v>
      </c>
      <c r="AV27" s="5">
        <f t="shared" si="28"/>
        <v>1.217557251908397</v>
      </c>
      <c r="AW27" s="180">
        <f t="shared" si="50"/>
        <v>4.1408045977011483E-2</v>
      </c>
      <c r="AX27" s="180">
        <f t="shared" si="29"/>
        <v>0.14409999999999998</v>
      </c>
      <c r="AY27" s="180">
        <f t="shared" si="30"/>
        <v>0.27799166666666664</v>
      </c>
      <c r="AZ27" s="180">
        <f t="shared" si="51"/>
        <v>0.51836086213615518</v>
      </c>
      <c r="BA27" s="473">
        <f t="shared" si="31"/>
        <v>0.23207671957671958</v>
      </c>
      <c r="BB27" s="5">
        <f t="shared" si="32"/>
        <v>8.2267200973635851E-2</v>
      </c>
      <c r="BC27" s="5"/>
      <c r="BD27" s="180">
        <f t="shared" si="52"/>
        <v>3.4070596642200961E-2</v>
      </c>
      <c r="BE27" s="180">
        <f t="shared" si="33"/>
        <v>0.32785684545409621</v>
      </c>
      <c r="BF27" s="180"/>
      <c r="BG27" s="547">
        <f t="shared" si="34"/>
        <v>4.0628194444444434E-4</v>
      </c>
      <c r="BH27" s="547">
        <f t="shared" si="35"/>
        <v>6.7035862068965521E-3</v>
      </c>
      <c r="BI27" s="547">
        <f t="shared" si="36"/>
        <v>7.7883472057074896E-4</v>
      </c>
      <c r="BJ27" s="547">
        <f t="shared" si="37"/>
        <v>4.93118112960761E-3</v>
      </c>
      <c r="BK27">
        <f t="shared" si="38"/>
        <v>6.96E-3</v>
      </c>
      <c r="BL27" s="473">
        <f t="shared" si="53"/>
        <v>19.779884001519356</v>
      </c>
      <c r="BM27" s="547">
        <f t="shared" si="54"/>
        <v>7.7000000000000002E-3</v>
      </c>
      <c r="BN27" s="547"/>
      <c r="BP27" s="473">
        <f t="shared" si="55"/>
        <v>7.7</v>
      </c>
      <c r="BQ27" s="547">
        <f t="shared" si="39"/>
        <v>1.2768861111111108E-4</v>
      </c>
      <c r="BR27" s="547">
        <f t="shared" si="40"/>
        <v>3.7621538888888899E-3</v>
      </c>
      <c r="BS27" s="547">
        <f t="shared" si="41"/>
        <v>6.9391012918964659E-5</v>
      </c>
      <c r="BT27" s="547">
        <f t="shared" si="42"/>
        <v>5.2399999999999999E-3</v>
      </c>
      <c r="BU27" s="473">
        <f t="shared" si="56"/>
        <v>9.1992335129189655</v>
      </c>
      <c r="BV27" s="180">
        <f t="shared" si="57"/>
        <v>3.6679117514438322E-2</v>
      </c>
      <c r="BW27" s="5">
        <f t="shared" si="58"/>
        <v>0.1386</v>
      </c>
      <c r="BX27" s="180">
        <f t="shared" si="59"/>
        <v>0.79073880542890729</v>
      </c>
      <c r="BY27" s="5">
        <f t="shared" si="60"/>
        <v>79.073880542890734</v>
      </c>
      <c r="CB27" s="582">
        <f t="shared" si="43"/>
        <v>-50</v>
      </c>
      <c r="CC27">
        <f t="shared" si="44"/>
        <v>-50</v>
      </c>
    </row>
    <row r="28" spans="5:81" x14ac:dyDescent="0.25">
      <c r="E28" s="177">
        <v>23</v>
      </c>
      <c r="F28" s="224">
        <f t="shared" si="45"/>
        <v>2.3000000000000003E-2</v>
      </c>
      <c r="G28" s="224"/>
      <c r="H28" s="224">
        <f t="shared" si="0"/>
        <v>0.14490000000000003</v>
      </c>
      <c r="I28" s="560">
        <f t="shared" si="1"/>
        <v>24</v>
      </c>
      <c r="J28" s="179">
        <f t="shared" si="2"/>
        <v>13.1</v>
      </c>
      <c r="K28" s="455">
        <f t="shared" si="3"/>
        <v>37.1</v>
      </c>
      <c r="L28" s="455"/>
      <c r="M28" s="224">
        <f t="shared" si="4"/>
        <v>0.35309973045822102</v>
      </c>
      <c r="N28" s="179">
        <f t="shared" si="5"/>
        <v>5.5295417789757408</v>
      </c>
      <c r="O28" s="179">
        <f t="shared" si="46"/>
        <v>0.14490000000000003</v>
      </c>
      <c r="P28" s="224">
        <f t="shared" si="6"/>
        <v>0.87770504428186369</v>
      </c>
      <c r="Q28" s="224">
        <f t="shared" si="7"/>
        <v>6.3</v>
      </c>
      <c r="R28" s="224">
        <f t="shared" si="8"/>
        <v>0.97522782697984844</v>
      </c>
      <c r="S28" s="179">
        <f t="shared" si="9"/>
        <v>668.87404869098009</v>
      </c>
      <c r="T28" s="179">
        <f t="shared" si="10"/>
        <v>6.3</v>
      </c>
      <c r="U28" s="224">
        <f t="shared" si="11"/>
        <v>3.7996819338422395E-2</v>
      </c>
      <c r="V28" s="224">
        <f t="shared" si="12"/>
        <v>8.7076044317217993E-2</v>
      </c>
      <c r="W28" s="224">
        <f t="shared" si="13"/>
        <v>0.15952863081017038</v>
      </c>
      <c r="X28" s="204">
        <f t="shared" si="14"/>
        <v>350</v>
      </c>
      <c r="Y28" s="455">
        <f t="shared" si="47"/>
        <v>350</v>
      </c>
      <c r="AA28" s="224">
        <f t="shared" si="15"/>
        <v>0.44022823537648331</v>
      </c>
      <c r="AB28" s="180">
        <f t="shared" si="16"/>
        <v>1.8482864844050828</v>
      </c>
      <c r="AC28" s="180">
        <f t="shared" si="17"/>
        <v>0.28478376412494877</v>
      </c>
      <c r="AD28" s="180"/>
      <c r="AE28" s="180">
        <f t="shared" si="18"/>
        <v>1.217557251908397</v>
      </c>
      <c r="AF28" s="564">
        <f t="shared" si="61"/>
        <v>65.13890390228083</v>
      </c>
      <c r="AG28" s="547">
        <f t="shared" si="19"/>
        <v>0.1235820610687023</v>
      </c>
      <c r="AI28" s="180">
        <f t="shared" si="20"/>
        <v>0.13187514318875029</v>
      </c>
      <c r="AJ28" s="180">
        <f t="shared" si="21"/>
        <v>0.28999999999999998</v>
      </c>
      <c r="AK28" s="180">
        <f t="shared" si="22"/>
        <v>1.0372222308013033</v>
      </c>
      <c r="AM28" s="564">
        <f t="shared" si="23"/>
        <v>23.000000000000004</v>
      </c>
      <c r="AN28" s="473">
        <f t="shared" si="24"/>
        <v>65.13890390228083</v>
      </c>
      <c r="AP28">
        <f t="shared" si="25"/>
        <v>23.000000000000004</v>
      </c>
      <c r="AQ28" s="473">
        <f t="shared" si="26"/>
        <v>65.13890390228083</v>
      </c>
      <c r="AR28" s="473"/>
      <c r="AS28" s="5">
        <f t="shared" si="48"/>
        <v>15.351808828410224</v>
      </c>
      <c r="AT28" s="5">
        <f t="shared" si="27"/>
        <v>0.6645833333333333</v>
      </c>
      <c r="AU28" s="5">
        <f t="shared" si="49"/>
        <v>14.687225495076891</v>
      </c>
      <c r="AV28" s="5">
        <f t="shared" si="28"/>
        <v>1.217557251908397</v>
      </c>
      <c r="AW28" s="180">
        <f t="shared" si="50"/>
        <v>4.3290229885057464E-2</v>
      </c>
      <c r="AX28" s="180">
        <f t="shared" si="29"/>
        <v>0.15065000000000001</v>
      </c>
      <c r="AY28" s="180">
        <f t="shared" si="30"/>
        <v>0.27744583333333334</v>
      </c>
      <c r="AZ28" s="180">
        <f t="shared" si="51"/>
        <v>0.54298887170168353</v>
      </c>
      <c r="BA28" s="473">
        <f t="shared" si="31"/>
        <v>0.24262566137566138</v>
      </c>
      <c r="BB28" s="5">
        <f t="shared" si="32"/>
        <v>8.2105670302339562E-2</v>
      </c>
      <c r="BC28" s="5"/>
      <c r="BD28" s="180">
        <f t="shared" si="52"/>
        <v>3.4836323635602594E-2</v>
      </c>
      <c r="BE28" s="180">
        <f t="shared" si="33"/>
        <v>0.32753481579147509</v>
      </c>
      <c r="BF28" s="180"/>
      <c r="BG28" s="547">
        <f t="shared" si="34"/>
        <v>4.2474930555555539E-4</v>
      </c>
      <c r="BH28" s="547">
        <f t="shared" si="35"/>
        <v>7.0082946708463958E-3</v>
      </c>
      <c r="BI28" s="547">
        <f t="shared" si="36"/>
        <v>8.1423629877851037E-4</v>
      </c>
      <c r="BJ28" s="547">
        <f t="shared" si="37"/>
        <v>5.1553257264079552E-3</v>
      </c>
      <c r="BK28">
        <f t="shared" si="38"/>
        <v>6.96E-3</v>
      </c>
      <c r="BL28" s="473">
        <f t="shared" si="53"/>
        <v>20.362606001588414</v>
      </c>
      <c r="BM28" s="547">
        <f t="shared" si="54"/>
        <v>8.0499999999999999E-3</v>
      </c>
      <c r="BN28" s="547"/>
      <c r="BP28" s="473">
        <f t="shared" si="55"/>
        <v>8.0500000000000007</v>
      </c>
      <c r="BQ28" s="547">
        <f t="shared" si="39"/>
        <v>1.3349263888888884E-4</v>
      </c>
      <c r="BR28" s="547">
        <f t="shared" si="40"/>
        <v>3.7547669444444433E-3</v>
      </c>
      <c r="BS28" s="547">
        <f t="shared" si="41"/>
        <v>7.7547198873784053E-5</v>
      </c>
      <c r="BT28" s="547">
        <f t="shared" si="42"/>
        <v>5.4781818181818187E-3</v>
      </c>
      <c r="BU28" s="473">
        <f t="shared" si="56"/>
        <v>9.4439886003889342</v>
      </c>
      <c r="BV28" s="180">
        <f t="shared" si="57"/>
        <v>3.785659460197735E-2</v>
      </c>
      <c r="BW28" s="5">
        <f t="shared" si="58"/>
        <v>0.14490000000000003</v>
      </c>
      <c r="BX28" s="180">
        <f t="shared" si="59"/>
        <v>0.79285784633695644</v>
      </c>
      <c r="BY28" s="5">
        <f t="shared" si="60"/>
        <v>79.285784633695641</v>
      </c>
      <c r="CB28" s="582">
        <f t="shared" si="43"/>
        <v>-50</v>
      </c>
      <c r="CC28">
        <f t="shared" si="44"/>
        <v>-50</v>
      </c>
    </row>
    <row r="29" spans="5:81" x14ac:dyDescent="0.25">
      <c r="E29" s="177">
        <v>24</v>
      </c>
      <c r="F29" s="224">
        <f t="shared" si="45"/>
        <v>2.4E-2</v>
      </c>
      <c r="G29" s="224"/>
      <c r="H29" s="224">
        <f t="shared" si="0"/>
        <v>0.1512</v>
      </c>
      <c r="I29" s="560">
        <f t="shared" si="1"/>
        <v>24</v>
      </c>
      <c r="J29" s="179">
        <f t="shared" si="2"/>
        <v>13.1</v>
      </c>
      <c r="K29" s="455">
        <f t="shared" si="3"/>
        <v>37.1</v>
      </c>
      <c r="L29" s="455"/>
      <c r="M29" s="224">
        <f t="shared" si="4"/>
        <v>0.35309973045822102</v>
      </c>
      <c r="N29" s="179">
        <f t="shared" si="5"/>
        <v>5.5295417789757408</v>
      </c>
      <c r="O29" s="179">
        <f t="shared" si="46"/>
        <v>0.1512</v>
      </c>
      <c r="P29" s="224">
        <f t="shared" si="6"/>
        <v>0.87770504428186369</v>
      </c>
      <c r="Q29" s="224">
        <f t="shared" si="7"/>
        <v>6.3</v>
      </c>
      <c r="R29" s="224">
        <f t="shared" si="8"/>
        <v>0.97522782697984844</v>
      </c>
      <c r="S29" s="179">
        <f t="shared" si="9"/>
        <v>640.50468197905434</v>
      </c>
      <c r="T29" s="179">
        <f t="shared" si="10"/>
        <v>6.3</v>
      </c>
      <c r="U29" s="224">
        <f t="shared" si="11"/>
        <v>3.9648854961832063E-2</v>
      </c>
      <c r="V29" s="224">
        <f t="shared" si="12"/>
        <v>9.086195928753181E-2</v>
      </c>
      <c r="W29" s="224">
        <f t="shared" si="13"/>
        <v>0.16646465823669951</v>
      </c>
      <c r="X29" s="204">
        <f t="shared" si="14"/>
        <v>350</v>
      </c>
      <c r="Y29" s="455">
        <f t="shared" si="47"/>
        <v>350</v>
      </c>
      <c r="AA29" s="224">
        <f t="shared" si="15"/>
        <v>0.44022823537648331</v>
      </c>
      <c r="AB29" s="180">
        <f t="shared" si="16"/>
        <v>1.8482864844050828</v>
      </c>
      <c r="AC29" s="180">
        <f t="shared" si="17"/>
        <v>0.28478376412494877</v>
      </c>
      <c r="AD29" s="180"/>
      <c r="AE29" s="180">
        <f t="shared" si="18"/>
        <v>1.217557251908397</v>
      </c>
      <c r="AF29" s="564">
        <f t="shared" si="61"/>
        <v>67.971030158901726</v>
      </c>
      <c r="AG29" s="547">
        <f t="shared" si="19"/>
        <v>0.1235820610687023</v>
      </c>
      <c r="AI29" s="180">
        <f t="shared" si="20"/>
        <v>0.13471149226100254</v>
      </c>
      <c r="AJ29" s="180">
        <f t="shared" si="21"/>
        <v>0.28999999999999998</v>
      </c>
      <c r="AK29" s="180">
        <f t="shared" si="22"/>
        <v>1.0388405886622296</v>
      </c>
      <c r="AM29" s="564">
        <f t="shared" si="23"/>
        <v>24</v>
      </c>
      <c r="AN29" s="473">
        <f t="shared" si="24"/>
        <v>67.971030158901726</v>
      </c>
      <c r="AP29">
        <f t="shared" si="25"/>
        <v>24</v>
      </c>
      <c r="AQ29" s="473">
        <f t="shared" si="26"/>
        <v>67.971030158901726</v>
      </c>
      <c r="AR29" s="473"/>
      <c r="AS29" s="5">
        <f t="shared" si="48"/>
        <v>14.712150127226465</v>
      </c>
      <c r="AT29" s="5">
        <f t="shared" si="27"/>
        <v>0.6645833333333333</v>
      </c>
      <c r="AU29" s="5">
        <f t="shared" si="49"/>
        <v>14.047566793893132</v>
      </c>
      <c r="AV29" s="5">
        <f t="shared" si="28"/>
        <v>1.217557251908397</v>
      </c>
      <c r="AW29" s="180">
        <f t="shared" si="50"/>
        <v>4.5172413793103439E-2</v>
      </c>
      <c r="AX29" s="180">
        <f t="shared" si="29"/>
        <v>0.15719999999999998</v>
      </c>
      <c r="AY29" s="180">
        <f t="shared" si="30"/>
        <v>0.27689999999999998</v>
      </c>
      <c r="AZ29" s="180">
        <f t="shared" si="51"/>
        <v>0.56771397616468033</v>
      </c>
      <c r="BA29" s="473">
        <f t="shared" si="31"/>
        <v>0.25317460317460316</v>
      </c>
      <c r="BB29" s="5">
        <f t="shared" si="32"/>
        <v>8.1944139631043258E-2</v>
      </c>
      <c r="BC29" s="5"/>
      <c r="BD29" s="180">
        <f t="shared" si="52"/>
        <v>3.5585577602918472E-2</v>
      </c>
      <c r="BE29" s="180">
        <f t="shared" si="33"/>
        <v>0.32721246920005964</v>
      </c>
      <c r="BF29" s="180"/>
      <c r="BG29" s="547">
        <f t="shared" si="34"/>
        <v>4.4321666666666644E-4</v>
      </c>
      <c r="BH29" s="547">
        <f t="shared" si="35"/>
        <v>7.3130031347962369E-3</v>
      </c>
      <c r="BI29" s="547">
        <f t="shared" si="36"/>
        <v>8.4963787698627156E-4</v>
      </c>
      <c r="BJ29" s="547">
        <f t="shared" si="37"/>
        <v>5.3794703232083003E-3</v>
      </c>
      <c r="BK29">
        <f t="shared" si="38"/>
        <v>6.96E-3</v>
      </c>
      <c r="BL29" s="473">
        <f t="shared" si="53"/>
        <v>20.945328001657476</v>
      </c>
      <c r="BM29" s="547">
        <f t="shared" si="54"/>
        <v>8.3999999999999995E-3</v>
      </c>
      <c r="BN29" s="547"/>
      <c r="BP29" s="473">
        <f t="shared" si="55"/>
        <v>8.4</v>
      </c>
      <c r="BQ29" s="547">
        <f t="shared" si="39"/>
        <v>1.392966666666666E-4</v>
      </c>
      <c r="BR29" s="547">
        <f t="shared" si="40"/>
        <v>3.7473799999999998E-3</v>
      </c>
      <c r="BS29" s="547">
        <f t="shared" si="41"/>
        <v>8.6253083392997629E-5</v>
      </c>
      <c r="BT29" s="547">
        <f t="shared" si="42"/>
        <v>5.7163636363636349E-3</v>
      </c>
      <c r="BU29" s="473">
        <f t="shared" si="56"/>
        <v>9.689293386423298</v>
      </c>
      <c r="BV29" s="180">
        <f t="shared" si="57"/>
        <v>3.9034621388080774E-2</v>
      </c>
      <c r="BW29" s="5">
        <f t="shared" si="58"/>
        <v>0.1512</v>
      </c>
      <c r="BX29" s="180">
        <f t="shared" si="59"/>
        <v>0.79480800548681563</v>
      </c>
      <c r="BY29" s="5">
        <f t="shared" si="60"/>
        <v>79.480800548681557</v>
      </c>
      <c r="CB29" s="582">
        <f t="shared" si="43"/>
        <v>-50</v>
      </c>
      <c r="CC29">
        <f t="shared" si="44"/>
        <v>-50</v>
      </c>
    </row>
    <row r="30" spans="5:81" x14ac:dyDescent="0.25">
      <c r="E30" s="177">
        <v>25</v>
      </c>
      <c r="F30" s="224">
        <f t="shared" si="45"/>
        <v>2.5000000000000001E-2</v>
      </c>
      <c r="G30" s="224"/>
      <c r="H30" s="224">
        <f t="shared" si="0"/>
        <v>0.1575</v>
      </c>
      <c r="I30" s="560">
        <f t="shared" si="1"/>
        <v>24</v>
      </c>
      <c r="J30" s="179">
        <f t="shared" si="2"/>
        <v>13.1</v>
      </c>
      <c r="K30" s="455">
        <f t="shared" si="3"/>
        <v>37.1</v>
      </c>
      <c r="L30" s="455"/>
      <c r="M30" s="224">
        <f t="shared" si="4"/>
        <v>0.35309973045822102</v>
      </c>
      <c r="N30" s="179">
        <f t="shared" si="5"/>
        <v>5.5295417789757408</v>
      </c>
      <c r="O30" s="179">
        <f t="shared" si="46"/>
        <v>0.1575</v>
      </c>
      <c r="P30" s="224">
        <f t="shared" si="6"/>
        <v>0.87770504428186369</v>
      </c>
      <c r="Q30" s="224">
        <f t="shared" si="7"/>
        <v>6.3</v>
      </c>
      <c r="R30" s="224">
        <f t="shared" si="8"/>
        <v>0.97522782697984844</v>
      </c>
      <c r="S30" s="179">
        <f t="shared" si="9"/>
        <v>614.40488078772955</v>
      </c>
      <c r="T30" s="179">
        <f t="shared" si="10"/>
        <v>6.3</v>
      </c>
      <c r="U30" s="224">
        <f t="shared" si="11"/>
        <v>4.130089058524173E-2</v>
      </c>
      <c r="V30" s="224">
        <f t="shared" si="12"/>
        <v>9.4647874257845641E-2</v>
      </c>
      <c r="W30" s="224">
        <f t="shared" si="13"/>
        <v>0.17340068566322867</v>
      </c>
      <c r="X30" s="204">
        <f t="shared" si="14"/>
        <v>350</v>
      </c>
      <c r="Y30" s="455">
        <f t="shared" si="47"/>
        <v>350</v>
      </c>
      <c r="AA30" s="224">
        <f t="shared" si="15"/>
        <v>0.44022823537648331</v>
      </c>
      <c r="AB30" s="180">
        <f t="shared" si="16"/>
        <v>1.8482864844050828</v>
      </c>
      <c r="AC30" s="180">
        <f t="shared" si="17"/>
        <v>0.28478376412494877</v>
      </c>
      <c r="AD30" s="180"/>
      <c r="AE30" s="180">
        <f t="shared" si="18"/>
        <v>1.217557251908397</v>
      </c>
      <c r="AF30" s="564">
        <f t="shared" si="61"/>
        <v>70.803156415522636</v>
      </c>
      <c r="AG30" s="547">
        <f t="shared" si="19"/>
        <v>0.1235820610687023</v>
      </c>
      <c r="AI30" s="180">
        <f t="shared" si="20"/>
        <v>0.13748934105347549</v>
      </c>
      <c r="AJ30" s="180">
        <f t="shared" si="21"/>
        <v>0.28999999999999998</v>
      </c>
      <c r="AK30" s="180">
        <f t="shared" si="22"/>
        <v>1.0404589465231557</v>
      </c>
      <c r="AM30" s="564">
        <f t="shared" si="23"/>
        <v>25</v>
      </c>
      <c r="AN30" s="473">
        <f t="shared" si="24"/>
        <v>70.803156415522636</v>
      </c>
      <c r="AP30">
        <f t="shared" si="25"/>
        <v>25</v>
      </c>
      <c r="AQ30" s="473">
        <f t="shared" si="26"/>
        <v>70.803156415522636</v>
      </c>
      <c r="AR30" s="473"/>
      <c r="AS30" s="5">
        <f t="shared" si="48"/>
        <v>14.123664122137408</v>
      </c>
      <c r="AT30" s="5">
        <f t="shared" si="27"/>
        <v>0.6645833333333333</v>
      </c>
      <c r="AU30" s="5">
        <f t="shared" si="49"/>
        <v>13.459080788804075</v>
      </c>
      <c r="AV30" s="5">
        <f t="shared" si="28"/>
        <v>1.217557251908397</v>
      </c>
      <c r="AW30" s="180">
        <f t="shared" si="50"/>
        <v>4.7054597701149413E-2</v>
      </c>
      <c r="AX30" s="180">
        <f t="shared" si="29"/>
        <v>0.16374999999999998</v>
      </c>
      <c r="AY30" s="180">
        <f t="shared" si="30"/>
        <v>0.27635416666666668</v>
      </c>
      <c r="AZ30" s="180">
        <f t="shared" si="51"/>
        <v>0.59253675084809643</v>
      </c>
      <c r="BA30" s="473">
        <f t="shared" si="31"/>
        <v>0.26372354497354494</v>
      </c>
      <c r="BB30" s="5">
        <f t="shared" si="32"/>
        <v>8.1782608959746955E-2</v>
      </c>
      <c r="BC30" s="5"/>
      <c r="BD30" s="180">
        <f t="shared" si="52"/>
        <v>3.6319378053901494E-2</v>
      </c>
      <c r="BE30" s="180">
        <f t="shared" si="33"/>
        <v>0.32688980474227769</v>
      </c>
      <c r="BF30" s="180"/>
      <c r="BG30" s="547">
        <f t="shared" si="34"/>
        <v>4.6168402777777749E-4</v>
      </c>
      <c r="BH30" s="547">
        <f t="shared" si="35"/>
        <v>7.6177115987460806E-3</v>
      </c>
      <c r="BI30" s="547">
        <f t="shared" si="36"/>
        <v>8.8503945519403287E-4</v>
      </c>
      <c r="BJ30" s="547">
        <f t="shared" si="37"/>
        <v>5.6036149200086472E-3</v>
      </c>
      <c r="BK30">
        <f t="shared" si="38"/>
        <v>6.96E-3</v>
      </c>
      <c r="BL30" s="473">
        <f t="shared" si="53"/>
        <v>21.528050001726537</v>
      </c>
      <c r="BM30" s="547">
        <f t="shared" si="54"/>
        <v>8.7499999999999991E-3</v>
      </c>
      <c r="BN30" s="547"/>
      <c r="BP30" s="473">
        <f t="shared" si="55"/>
        <v>8.7499999999999982</v>
      </c>
      <c r="BQ30" s="547">
        <f t="shared" si="39"/>
        <v>1.4510069444444436E-4</v>
      </c>
      <c r="BR30" s="547">
        <f t="shared" si="40"/>
        <v>3.7399930555555554E-3</v>
      </c>
      <c r="BS30" s="547">
        <f t="shared" si="41"/>
        <v>9.5520491109017935E-5</v>
      </c>
      <c r="BT30" s="547">
        <f t="shared" si="42"/>
        <v>5.9545454545454537E-3</v>
      </c>
      <c r="BU30" s="473">
        <f t="shared" si="56"/>
        <v>9.9351596956544697</v>
      </c>
      <c r="BV30" s="180">
        <f t="shared" si="57"/>
        <v>4.0213209697381007E-2</v>
      </c>
      <c r="BW30" s="5">
        <f t="shared" si="58"/>
        <v>0.1575</v>
      </c>
      <c r="BX30" s="180">
        <f t="shared" si="59"/>
        <v>0.79660838161025671</v>
      </c>
      <c r="BY30" s="5">
        <f t="shared" si="60"/>
        <v>79.660838161025666</v>
      </c>
      <c r="CB30" s="582">
        <f t="shared" si="43"/>
        <v>-50</v>
      </c>
      <c r="CC30">
        <f t="shared" si="44"/>
        <v>-50</v>
      </c>
    </row>
    <row r="31" spans="5:81" x14ac:dyDescent="0.25">
      <c r="E31" s="177">
        <v>26</v>
      </c>
      <c r="F31" s="224">
        <f t="shared" si="45"/>
        <v>2.6000000000000002E-2</v>
      </c>
      <c r="G31" s="224"/>
      <c r="H31" s="224">
        <f t="shared" si="0"/>
        <v>0.1638</v>
      </c>
      <c r="I31" s="560">
        <f t="shared" si="1"/>
        <v>24</v>
      </c>
      <c r="J31" s="179">
        <f t="shared" si="2"/>
        <v>13.1</v>
      </c>
      <c r="K31" s="455">
        <f t="shared" si="3"/>
        <v>37.1</v>
      </c>
      <c r="L31" s="455"/>
      <c r="M31" s="224">
        <f t="shared" si="4"/>
        <v>0.35309973045822102</v>
      </c>
      <c r="N31" s="179">
        <f t="shared" si="5"/>
        <v>5.5295417789757408</v>
      </c>
      <c r="O31" s="179">
        <f t="shared" si="46"/>
        <v>0.1638</v>
      </c>
      <c r="P31" s="224">
        <f t="shared" si="6"/>
        <v>0.87770504428186369</v>
      </c>
      <c r="Q31" s="224">
        <f t="shared" si="7"/>
        <v>6.3</v>
      </c>
      <c r="R31" s="224">
        <f t="shared" si="8"/>
        <v>0.97522782697984844</v>
      </c>
      <c r="S31" s="179">
        <f t="shared" si="9"/>
        <v>590.31277220798597</v>
      </c>
      <c r="T31" s="179">
        <f t="shared" si="10"/>
        <v>6.3</v>
      </c>
      <c r="U31" s="224">
        <f t="shared" si="11"/>
        <v>4.2952926208651397E-2</v>
      </c>
      <c r="V31" s="224">
        <f t="shared" si="12"/>
        <v>9.8433789228159443E-2</v>
      </c>
      <c r="W31" s="224">
        <f t="shared" si="13"/>
        <v>0.18033671308975777</v>
      </c>
      <c r="X31" s="204">
        <f t="shared" si="14"/>
        <v>350</v>
      </c>
      <c r="Y31" s="455">
        <f t="shared" si="47"/>
        <v>350</v>
      </c>
      <c r="AA31" s="224">
        <f t="shared" si="15"/>
        <v>0.44022823537648331</v>
      </c>
      <c r="AB31" s="180">
        <f t="shared" si="16"/>
        <v>1.8482864844050828</v>
      </c>
      <c r="AC31" s="180">
        <f t="shared" si="17"/>
        <v>0.28478376412494877</v>
      </c>
      <c r="AD31" s="180"/>
      <c r="AE31" s="180">
        <f t="shared" si="18"/>
        <v>1.217557251908397</v>
      </c>
      <c r="AF31" s="564">
        <f t="shared" si="61"/>
        <v>73.635282672143546</v>
      </c>
      <c r="AG31" s="547">
        <f t="shared" si="19"/>
        <v>0.1235820610687023</v>
      </c>
      <c r="AI31" s="180">
        <f t="shared" si="20"/>
        <v>0.14021216658853702</v>
      </c>
      <c r="AJ31" s="180">
        <f t="shared" si="21"/>
        <v>0.28999999999999998</v>
      </c>
      <c r="AK31" s="180">
        <f t="shared" si="22"/>
        <v>1.0420773043840821</v>
      </c>
      <c r="AM31" s="564">
        <f t="shared" si="23"/>
        <v>26.000000000000004</v>
      </c>
      <c r="AN31" s="473">
        <f t="shared" si="24"/>
        <v>73.635282672143546</v>
      </c>
      <c r="AP31">
        <f t="shared" si="25"/>
        <v>26.000000000000004</v>
      </c>
      <c r="AQ31" s="473">
        <f t="shared" si="26"/>
        <v>73.635282672143546</v>
      </c>
      <c r="AR31" s="473"/>
      <c r="AS31" s="5">
        <f t="shared" si="48"/>
        <v>13.580446271285966</v>
      </c>
      <c r="AT31" s="5">
        <f t="shared" si="27"/>
        <v>0.6645833333333333</v>
      </c>
      <c r="AU31" s="5">
        <f t="shared" si="49"/>
        <v>12.915862937952634</v>
      </c>
      <c r="AV31" s="5">
        <f t="shared" si="28"/>
        <v>1.217557251908397</v>
      </c>
      <c r="AW31" s="180">
        <f t="shared" si="50"/>
        <v>4.8936781609195401E-2</v>
      </c>
      <c r="AX31" s="180">
        <f t="shared" si="29"/>
        <v>0.17029999999999998</v>
      </c>
      <c r="AY31" s="180">
        <f t="shared" si="30"/>
        <v>0.27580833333333332</v>
      </c>
      <c r="AZ31" s="180">
        <f t="shared" si="51"/>
        <v>0.617457775629211</v>
      </c>
      <c r="BA31" s="473">
        <f t="shared" si="31"/>
        <v>0.27427248677248678</v>
      </c>
      <c r="BB31" s="5">
        <f t="shared" si="32"/>
        <v>8.1621078288450666E-2</v>
      </c>
      <c r="BC31" s="5"/>
      <c r="BD31" s="180">
        <f t="shared" si="52"/>
        <v>3.7038643483679454E-2</v>
      </c>
      <c r="BE31" s="180">
        <f t="shared" si="33"/>
        <v>0.32656682147592531</v>
      </c>
      <c r="BF31" s="180"/>
      <c r="BG31" s="547">
        <f t="shared" si="34"/>
        <v>4.801513888888886E-4</v>
      </c>
      <c r="BH31" s="547">
        <f t="shared" si="35"/>
        <v>7.9224200626959243E-3</v>
      </c>
      <c r="BI31" s="547">
        <f t="shared" si="36"/>
        <v>9.2044103340179428E-4</v>
      </c>
      <c r="BJ31" s="547">
        <f t="shared" si="37"/>
        <v>5.8277595168089932E-3</v>
      </c>
      <c r="BK31">
        <f t="shared" si="38"/>
        <v>6.96E-3</v>
      </c>
      <c r="BL31" s="473">
        <f t="shared" si="53"/>
        <v>22.110772001795599</v>
      </c>
      <c r="BM31" s="547">
        <f t="shared" si="54"/>
        <v>9.1000000000000004E-3</v>
      </c>
      <c r="BN31" s="547"/>
      <c r="BP31" s="473">
        <f t="shared" si="55"/>
        <v>9.1</v>
      </c>
      <c r="BQ31" s="547">
        <f t="shared" si="39"/>
        <v>1.5090472222222215E-4</v>
      </c>
      <c r="BR31" s="547">
        <f t="shared" si="40"/>
        <v>3.7326061111111111E-3</v>
      </c>
      <c r="BS31" s="547">
        <f t="shared" si="41"/>
        <v>1.0536100266377142E-4</v>
      </c>
      <c r="BT31" s="547">
        <f t="shared" si="42"/>
        <v>6.1927272727272725E-3</v>
      </c>
      <c r="BU31" s="473">
        <f t="shared" si="56"/>
        <v>10.181599108724376</v>
      </c>
      <c r="BV31" s="180">
        <f t="shared" si="57"/>
        <v>4.1392371110519979E-2</v>
      </c>
      <c r="BW31" s="5">
        <f t="shared" si="58"/>
        <v>0.1638</v>
      </c>
      <c r="BX31" s="180">
        <f t="shared" si="59"/>
        <v>0.79827529217338511</v>
      </c>
      <c r="BY31" s="5">
        <f t="shared" si="60"/>
        <v>79.827529217338508</v>
      </c>
      <c r="CB31" s="582">
        <f t="shared" si="43"/>
        <v>-50</v>
      </c>
      <c r="CC31">
        <f t="shared" si="44"/>
        <v>-50</v>
      </c>
    </row>
    <row r="32" spans="5:81" x14ac:dyDescent="0.25">
      <c r="E32" s="177">
        <v>27</v>
      </c>
      <c r="F32" s="224">
        <f t="shared" si="45"/>
        <v>2.7000000000000003E-2</v>
      </c>
      <c r="G32" s="224"/>
      <c r="H32" s="224">
        <f t="shared" si="0"/>
        <v>0.17010000000000003</v>
      </c>
      <c r="I32" s="560">
        <f t="shared" si="1"/>
        <v>24</v>
      </c>
      <c r="J32" s="179">
        <f t="shared" si="2"/>
        <v>13.1</v>
      </c>
      <c r="K32" s="455">
        <f t="shared" si="3"/>
        <v>37.1</v>
      </c>
      <c r="L32" s="455"/>
      <c r="M32" s="224">
        <f t="shared" si="4"/>
        <v>0.35309973045822102</v>
      </c>
      <c r="N32" s="179">
        <f t="shared" si="5"/>
        <v>5.5295417789757408</v>
      </c>
      <c r="O32" s="179">
        <f t="shared" si="46"/>
        <v>0.17010000000000003</v>
      </c>
      <c r="P32" s="224">
        <f t="shared" si="6"/>
        <v>0.87770504428186369</v>
      </c>
      <c r="Q32" s="224">
        <f t="shared" si="7"/>
        <v>6.3</v>
      </c>
      <c r="R32" s="224">
        <f t="shared" si="8"/>
        <v>0.97522782697984844</v>
      </c>
      <c r="S32" s="179">
        <f t="shared" si="9"/>
        <v>568.00527931742852</v>
      </c>
      <c r="T32" s="179">
        <f t="shared" si="10"/>
        <v>6.3</v>
      </c>
      <c r="U32" s="224">
        <f t="shared" si="11"/>
        <v>4.4604961832061071E-2</v>
      </c>
      <c r="V32" s="224">
        <f t="shared" si="12"/>
        <v>0.10221970419847329</v>
      </c>
      <c r="W32" s="224">
        <f t="shared" si="13"/>
        <v>0.18727274051628695</v>
      </c>
      <c r="X32" s="204">
        <f t="shared" si="14"/>
        <v>350</v>
      </c>
      <c r="Y32" s="455">
        <f t="shared" si="47"/>
        <v>350</v>
      </c>
      <c r="AA32" s="224">
        <f t="shared" si="15"/>
        <v>0.44022823537648331</v>
      </c>
      <c r="AB32" s="180">
        <f t="shared" si="16"/>
        <v>1.8482864844050828</v>
      </c>
      <c r="AC32" s="180">
        <f t="shared" si="17"/>
        <v>0.28478376412494877</v>
      </c>
      <c r="AD32" s="180"/>
      <c r="AE32" s="180">
        <f t="shared" si="18"/>
        <v>1.217557251908397</v>
      </c>
      <c r="AF32" s="564">
        <f t="shared" si="61"/>
        <v>76.467408928764456</v>
      </c>
      <c r="AG32" s="547">
        <f t="shared" si="19"/>
        <v>0.1235820610687023</v>
      </c>
      <c r="AI32" s="180">
        <f t="shared" si="20"/>
        <v>0.14288311452227101</v>
      </c>
      <c r="AJ32" s="180">
        <f t="shared" si="21"/>
        <v>0.28999999999999998</v>
      </c>
      <c r="AK32" s="180">
        <f t="shared" si="22"/>
        <v>1.0436956622450082</v>
      </c>
      <c r="AM32" s="564">
        <f t="shared" si="23"/>
        <v>27.000000000000004</v>
      </c>
      <c r="AN32" s="473">
        <f t="shared" si="24"/>
        <v>76.467408928764456</v>
      </c>
      <c r="AP32">
        <f t="shared" si="25"/>
        <v>27.000000000000004</v>
      </c>
      <c r="AQ32" s="473">
        <f t="shared" si="26"/>
        <v>76.467408928764456</v>
      </c>
      <c r="AR32" s="473"/>
      <c r="AS32" s="5">
        <f t="shared" si="48"/>
        <v>13.077466779756856</v>
      </c>
      <c r="AT32" s="5">
        <f t="shared" si="27"/>
        <v>0.6645833333333333</v>
      </c>
      <c r="AU32" s="5">
        <f t="shared" si="49"/>
        <v>12.412883446423523</v>
      </c>
      <c r="AV32" s="5">
        <f t="shared" si="28"/>
        <v>1.217557251908397</v>
      </c>
      <c r="AW32" s="180">
        <f t="shared" si="50"/>
        <v>5.0818965517241375E-2</v>
      </c>
      <c r="AX32" s="180">
        <f t="shared" si="29"/>
        <v>0.17684999999999998</v>
      </c>
      <c r="AY32" s="180">
        <f t="shared" si="30"/>
        <v>0.27526249999999997</v>
      </c>
      <c r="AZ32" s="180">
        <f t="shared" si="51"/>
        <v>0.64247763498478727</v>
      </c>
      <c r="BA32" s="473">
        <f t="shared" si="31"/>
        <v>0.28482142857142861</v>
      </c>
      <c r="BB32" s="5">
        <f t="shared" si="32"/>
        <v>8.1459547617154376E-2</v>
      </c>
      <c r="BC32" s="5"/>
      <c r="BD32" s="180">
        <f t="shared" si="52"/>
        <v>3.774420485319567E-2</v>
      </c>
      <c r="BE32" s="180">
        <f t="shared" si="33"/>
        <v>0.32624351845413468</v>
      </c>
      <c r="BF32" s="180"/>
      <c r="BG32" s="547">
        <f t="shared" si="34"/>
        <v>4.9861874999999987E-4</v>
      </c>
      <c r="BH32" s="547">
        <f t="shared" si="35"/>
        <v>8.2271285266457671E-3</v>
      </c>
      <c r="BI32" s="547">
        <f t="shared" si="36"/>
        <v>9.5584261160955569E-4</v>
      </c>
      <c r="BJ32" s="547">
        <f t="shared" si="37"/>
        <v>6.0519041136093401E-3</v>
      </c>
      <c r="BK32">
        <f t="shared" si="38"/>
        <v>6.96E-3</v>
      </c>
      <c r="BL32" s="473">
        <f t="shared" si="53"/>
        <v>22.693494001864668</v>
      </c>
      <c r="BM32" s="547">
        <f t="shared" si="54"/>
        <v>9.4500000000000001E-3</v>
      </c>
      <c r="BN32" s="547"/>
      <c r="BP32" s="473">
        <f t="shared" si="55"/>
        <v>9.4499999999999993</v>
      </c>
      <c r="BQ32" s="547">
        <f t="shared" si="39"/>
        <v>1.5670874999999996E-4</v>
      </c>
      <c r="BR32" s="547">
        <f t="shared" si="40"/>
        <v>3.7252191666666662E-3</v>
      </c>
      <c r="BS32" s="547">
        <f t="shared" si="41"/>
        <v>1.1578596922032268E-4</v>
      </c>
      <c r="BT32" s="547">
        <f t="shared" si="42"/>
        <v>6.4309090909090913E-3</v>
      </c>
      <c r="BU32" s="473">
        <f t="shared" si="56"/>
        <v>10.428622976796079</v>
      </c>
      <c r="BV32" s="180">
        <f t="shared" si="57"/>
        <v>4.257211697866075E-2</v>
      </c>
      <c r="BW32" s="5">
        <f t="shared" si="58"/>
        <v>0.17010000000000003</v>
      </c>
      <c r="BX32" s="180">
        <f t="shared" si="59"/>
        <v>0.79982276198937552</v>
      </c>
      <c r="BY32" s="5">
        <f t="shared" si="60"/>
        <v>79.982276198937555</v>
      </c>
      <c r="CB32" s="582">
        <f t="shared" si="43"/>
        <v>-50</v>
      </c>
      <c r="CC32">
        <f t="shared" si="44"/>
        <v>-50</v>
      </c>
    </row>
    <row r="33" spans="5:81" x14ac:dyDescent="0.25">
      <c r="E33" s="177">
        <v>28</v>
      </c>
      <c r="F33" s="224">
        <f t="shared" si="45"/>
        <v>2.8000000000000004E-2</v>
      </c>
      <c r="G33" s="224"/>
      <c r="H33" s="224">
        <f t="shared" si="0"/>
        <v>0.17640000000000003</v>
      </c>
      <c r="I33" s="560">
        <f t="shared" si="1"/>
        <v>24</v>
      </c>
      <c r="J33" s="179">
        <f t="shared" si="2"/>
        <v>13.1</v>
      </c>
      <c r="K33" s="455">
        <f t="shared" si="3"/>
        <v>37.1</v>
      </c>
      <c r="L33" s="455"/>
      <c r="M33" s="224">
        <f t="shared" si="4"/>
        <v>0.35309973045822102</v>
      </c>
      <c r="N33" s="179">
        <f t="shared" si="5"/>
        <v>5.5295417789757408</v>
      </c>
      <c r="O33" s="179">
        <f t="shared" si="46"/>
        <v>0.17640000000000003</v>
      </c>
      <c r="P33" s="224">
        <f t="shared" si="6"/>
        <v>0.87770504428186369</v>
      </c>
      <c r="Q33" s="224">
        <f t="shared" si="7"/>
        <v>6.3</v>
      </c>
      <c r="R33" s="224">
        <f t="shared" si="8"/>
        <v>0.97522782697984844</v>
      </c>
      <c r="S33" s="179">
        <f t="shared" si="9"/>
        <v>547.29119332553171</v>
      </c>
      <c r="T33" s="179">
        <f t="shared" si="10"/>
        <v>6.3</v>
      </c>
      <c r="U33" s="224">
        <f t="shared" si="11"/>
        <v>4.6256997455470746E-2</v>
      </c>
      <c r="V33" s="224">
        <f t="shared" si="12"/>
        <v>0.10600561916878713</v>
      </c>
      <c r="W33" s="224">
        <f t="shared" si="13"/>
        <v>0.19420876794281614</v>
      </c>
      <c r="X33" s="204">
        <f t="shared" si="14"/>
        <v>350</v>
      </c>
      <c r="Y33" s="455">
        <f t="shared" si="47"/>
        <v>350</v>
      </c>
      <c r="AA33" s="224">
        <f t="shared" si="15"/>
        <v>0.44022823537648331</v>
      </c>
      <c r="AB33" s="180">
        <f t="shared" si="16"/>
        <v>1.8482864844050828</v>
      </c>
      <c r="AC33" s="180">
        <f t="shared" si="17"/>
        <v>0.28478376412494877</v>
      </c>
      <c r="AD33" s="180"/>
      <c r="AE33" s="180">
        <f t="shared" si="18"/>
        <v>1.217557251908397</v>
      </c>
      <c r="AF33" s="564">
        <f t="shared" si="61"/>
        <v>79.299535185385366</v>
      </c>
      <c r="AG33" s="547">
        <f t="shared" si="19"/>
        <v>0.1235820610687023</v>
      </c>
      <c r="AI33" s="180">
        <f t="shared" si="20"/>
        <v>0.14550504173985576</v>
      </c>
      <c r="AJ33" s="180">
        <f t="shared" si="21"/>
        <v>0.28999999999999998</v>
      </c>
      <c r="AK33" s="180">
        <f t="shared" si="22"/>
        <v>1.0453140201059345</v>
      </c>
      <c r="AM33" s="564">
        <f t="shared" si="23"/>
        <v>28.000000000000004</v>
      </c>
      <c r="AN33" s="473">
        <f t="shared" si="24"/>
        <v>79.299535185385366</v>
      </c>
      <c r="AP33">
        <f t="shared" si="25"/>
        <v>28.000000000000004</v>
      </c>
      <c r="AQ33" s="473">
        <f t="shared" si="26"/>
        <v>79.299535185385366</v>
      </c>
      <c r="AR33" s="473"/>
      <c r="AS33" s="5">
        <f t="shared" si="48"/>
        <v>12.61041439476554</v>
      </c>
      <c r="AT33" s="5">
        <f t="shared" si="27"/>
        <v>0.6645833333333333</v>
      </c>
      <c r="AU33" s="5">
        <f t="shared" si="49"/>
        <v>11.945831061432207</v>
      </c>
      <c r="AV33" s="5">
        <f t="shared" si="28"/>
        <v>1.217557251908397</v>
      </c>
      <c r="AW33" s="180">
        <f t="shared" si="50"/>
        <v>5.2701149425287357E-2</v>
      </c>
      <c r="AX33" s="180">
        <f t="shared" si="29"/>
        <v>0.18340000000000001</v>
      </c>
      <c r="AY33" s="180">
        <f t="shared" si="30"/>
        <v>0.27471666666666666</v>
      </c>
      <c r="AZ33" s="180">
        <f t="shared" si="51"/>
        <v>0.66759691803676513</v>
      </c>
      <c r="BA33" s="473">
        <f t="shared" si="31"/>
        <v>0.29537037037037039</v>
      </c>
      <c r="BB33" s="5">
        <f t="shared" si="32"/>
        <v>8.1298016945858073E-2</v>
      </c>
      <c r="BC33" s="5"/>
      <c r="BD33" s="180">
        <f t="shared" si="52"/>
        <v>3.8436816841264168E-2</v>
      </c>
      <c r="BE33" s="180">
        <f t="shared" si="33"/>
        <v>0.32591989472534166</v>
      </c>
      <c r="BF33" s="180"/>
      <c r="BG33" s="547">
        <f t="shared" si="34"/>
        <v>5.1708611111111102E-4</v>
      </c>
      <c r="BH33" s="547">
        <f t="shared" si="35"/>
        <v>8.5318369905956117E-3</v>
      </c>
      <c r="BI33" s="547">
        <f t="shared" si="36"/>
        <v>9.9124418981731688E-4</v>
      </c>
      <c r="BJ33" s="547">
        <f t="shared" si="37"/>
        <v>6.2760487104096853E-3</v>
      </c>
      <c r="BK33">
        <f t="shared" si="38"/>
        <v>6.96E-3</v>
      </c>
      <c r="BL33" s="473">
        <f t="shared" si="53"/>
        <v>23.276216001933726</v>
      </c>
      <c r="BM33" s="547">
        <f t="shared" si="54"/>
        <v>9.8000000000000014E-3</v>
      </c>
      <c r="BN33" s="547"/>
      <c r="BP33" s="473">
        <f t="shared" si="55"/>
        <v>9.8000000000000007</v>
      </c>
      <c r="BQ33" s="547">
        <f t="shared" si="39"/>
        <v>1.6251277777777778E-4</v>
      </c>
      <c r="BR33" s="547">
        <f t="shared" si="40"/>
        <v>3.7178322222222232E-3</v>
      </c>
      <c r="BS33" s="547">
        <f t="shared" si="41"/>
        <v>1.2680652559027891E-4</v>
      </c>
      <c r="BT33" s="547">
        <f t="shared" si="42"/>
        <v>6.6690909090909101E-3</v>
      </c>
      <c r="BU33" s="473">
        <f t="shared" si="56"/>
        <v>10.676242434681189</v>
      </c>
      <c r="BV33" s="180">
        <f t="shared" si="57"/>
        <v>4.3752458436614919E-2</v>
      </c>
      <c r="BW33" s="5">
        <f t="shared" si="58"/>
        <v>0.17640000000000003</v>
      </c>
      <c r="BX33" s="180">
        <f t="shared" si="59"/>
        <v>0.80126291231395952</v>
      </c>
      <c r="BY33" s="5">
        <f t="shared" si="60"/>
        <v>80.126291231395953</v>
      </c>
      <c r="CB33" s="582">
        <f t="shared" si="43"/>
        <v>-50</v>
      </c>
      <c r="CC33">
        <f t="shared" si="44"/>
        <v>-50</v>
      </c>
    </row>
    <row r="34" spans="5:81" x14ac:dyDescent="0.25">
      <c r="E34" s="177">
        <v>29</v>
      </c>
      <c r="F34" s="224">
        <f t="shared" si="45"/>
        <v>2.8999999999999998E-2</v>
      </c>
      <c r="G34" s="224"/>
      <c r="H34" s="224">
        <f t="shared" si="0"/>
        <v>0.18269999999999997</v>
      </c>
      <c r="I34" s="560">
        <f t="shared" si="1"/>
        <v>24</v>
      </c>
      <c r="J34" s="179">
        <f t="shared" si="2"/>
        <v>13.1</v>
      </c>
      <c r="K34" s="455">
        <f t="shared" si="3"/>
        <v>37.1</v>
      </c>
      <c r="L34" s="455"/>
      <c r="M34" s="224">
        <f t="shared" si="4"/>
        <v>0.35309973045822102</v>
      </c>
      <c r="N34" s="179">
        <f t="shared" si="5"/>
        <v>5.5295417789757408</v>
      </c>
      <c r="O34" s="179">
        <f t="shared" si="46"/>
        <v>0.18269999999999997</v>
      </c>
      <c r="P34" s="224">
        <f t="shared" si="6"/>
        <v>0.87770504428186369</v>
      </c>
      <c r="Q34" s="224">
        <f t="shared" si="7"/>
        <v>6.3</v>
      </c>
      <c r="R34" s="224">
        <f t="shared" si="8"/>
        <v>0.97522782697984844</v>
      </c>
      <c r="S34" s="179">
        <f t="shared" si="9"/>
        <v>528.00567906814615</v>
      </c>
      <c r="T34" s="179">
        <f t="shared" si="10"/>
        <v>6.3</v>
      </c>
      <c r="U34" s="224">
        <f t="shared" si="11"/>
        <v>4.7909033078880399E-2</v>
      </c>
      <c r="V34" s="224">
        <f t="shared" si="12"/>
        <v>0.10979153413910091</v>
      </c>
      <c r="W34" s="224">
        <f t="shared" si="13"/>
        <v>0.20114479536934518</v>
      </c>
      <c r="X34" s="204">
        <f t="shared" si="14"/>
        <v>350</v>
      </c>
      <c r="Y34" s="455">
        <f t="shared" si="47"/>
        <v>350</v>
      </c>
      <c r="AA34" s="224">
        <f t="shared" si="15"/>
        <v>0.44022823537648331</v>
      </c>
      <c r="AB34" s="180">
        <f t="shared" si="16"/>
        <v>1.8482864844050828</v>
      </c>
      <c r="AC34" s="180">
        <f t="shared" si="17"/>
        <v>0.28478376412494877</v>
      </c>
      <c r="AD34" s="180"/>
      <c r="AE34" s="180">
        <f t="shared" si="18"/>
        <v>1.217557251908397</v>
      </c>
      <c r="AF34" s="564">
        <f t="shared" si="61"/>
        <v>82.131661442006248</v>
      </c>
      <c r="AG34" s="547">
        <f t="shared" si="19"/>
        <v>0.1235820610687023</v>
      </c>
      <c r="AI34" s="180">
        <f t="shared" si="20"/>
        <v>0.14808055215945787</v>
      </c>
      <c r="AJ34" s="180">
        <f t="shared" si="21"/>
        <v>0.28999999999999998</v>
      </c>
      <c r="AK34" s="180">
        <f t="shared" si="22"/>
        <v>1.0469323779668607</v>
      </c>
      <c r="AM34" s="564">
        <f t="shared" si="23"/>
        <v>28.999999999999996</v>
      </c>
      <c r="AN34" s="473">
        <f t="shared" si="24"/>
        <v>82.131661442006248</v>
      </c>
      <c r="AP34">
        <f t="shared" si="25"/>
        <v>28.999999999999996</v>
      </c>
      <c r="AQ34" s="473">
        <f t="shared" si="26"/>
        <v>82.131661442006248</v>
      </c>
      <c r="AR34" s="473"/>
      <c r="AS34" s="5">
        <f t="shared" si="48"/>
        <v>12.175572519083973</v>
      </c>
      <c r="AT34" s="5">
        <f t="shared" si="27"/>
        <v>0.6645833333333333</v>
      </c>
      <c r="AU34" s="5">
        <f t="shared" si="49"/>
        <v>11.51098918575064</v>
      </c>
      <c r="AV34" s="5">
        <f t="shared" si="28"/>
        <v>1.217557251908397</v>
      </c>
      <c r="AW34" s="180">
        <f t="shared" si="50"/>
        <v>5.4583333333333317E-2</v>
      </c>
      <c r="AX34" s="180">
        <f t="shared" si="29"/>
        <v>0.18994999999999995</v>
      </c>
      <c r="AY34" s="180">
        <f t="shared" si="30"/>
        <v>0.27417083333333331</v>
      </c>
      <c r="AZ34" s="180">
        <f t="shared" si="51"/>
        <v>0.6928162185985014</v>
      </c>
      <c r="BA34" s="473">
        <f t="shared" si="31"/>
        <v>0.30591931216931212</v>
      </c>
      <c r="BB34" s="5">
        <f t="shared" si="32"/>
        <v>8.113648627456177E-2</v>
      </c>
      <c r="BC34" s="5"/>
      <c r="BD34" s="180">
        <f t="shared" si="52"/>
        <v>3.9117167302576722E-2</v>
      </c>
      <c r="BE34" s="180">
        <f t="shared" si="33"/>
        <v>0.32559594933325292</v>
      </c>
      <c r="BF34" s="180"/>
      <c r="BG34" s="547">
        <f t="shared" si="34"/>
        <v>5.3555347222222207E-4</v>
      </c>
      <c r="BH34" s="547">
        <f t="shared" si="35"/>
        <v>8.8365454545454528E-3</v>
      </c>
      <c r="BI34" s="547">
        <f t="shared" si="36"/>
        <v>1.0266457680250781E-3</v>
      </c>
      <c r="BJ34" s="547">
        <f t="shared" si="37"/>
        <v>6.5001933072100296E-3</v>
      </c>
      <c r="BK34">
        <f t="shared" si="38"/>
        <v>6.96E-3</v>
      </c>
      <c r="BL34" s="473">
        <f t="shared" si="53"/>
        <v>23.858938002002784</v>
      </c>
      <c r="BM34" s="547">
        <f t="shared" si="54"/>
        <v>1.0149999999999999E-2</v>
      </c>
      <c r="BN34" s="547"/>
      <c r="BP34" s="473">
        <f t="shared" si="55"/>
        <v>10.149999999999999</v>
      </c>
      <c r="BQ34" s="547">
        <f t="shared" si="39"/>
        <v>1.6831680555555551E-4</v>
      </c>
      <c r="BR34" s="547">
        <f t="shared" si="40"/>
        <v>3.7104452777777775E-3</v>
      </c>
      <c r="BS34" s="547">
        <f t="shared" si="41"/>
        <v>1.3843360215510058E-4</v>
      </c>
      <c r="BT34" s="547">
        <f t="shared" si="42"/>
        <v>6.9072727272727254E-3</v>
      </c>
      <c r="BU34" s="473">
        <f t="shared" si="56"/>
        <v>10.924468412761158</v>
      </c>
      <c r="BV34" s="180">
        <f t="shared" si="57"/>
        <v>4.4933406414763948E-2</v>
      </c>
      <c r="BW34" s="5">
        <f t="shared" si="58"/>
        <v>0.18269999999999997</v>
      </c>
      <c r="BX34" s="180">
        <f t="shared" si="59"/>
        <v>0.80260627329500067</v>
      </c>
      <c r="BY34" s="5">
        <f t="shared" si="60"/>
        <v>80.260627329500068</v>
      </c>
      <c r="CB34" s="582">
        <f t="shared" si="43"/>
        <v>-50</v>
      </c>
      <c r="CC34">
        <f t="shared" si="44"/>
        <v>-50</v>
      </c>
    </row>
    <row r="35" spans="5:81" x14ac:dyDescent="0.25">
      <c r="E35" s="177">
        <v>30</v>
      </c>
      <c r="F35" s="224">
        <f t="shared" si="45"/>
        <v>0.03</v>
      </c>
      <c r="G35" s="224"/>
      <c r="H35" s="224">
        <f t="shared" si="0"/>
        <v>0.189</v>
      </c>
      <c r="I35" s="560">
        <f t="shared" si="1"/>
        <v>24</v>
      </c>
      <c r="J35" s="179">
        <f t="shared" si="2"/>
        <v>13.1</v>
      </c>
      <c r="K35" s="455">
        <f t="shared" si="3"/>
        <v>37.1</v>
      </c>
      <c r="L35" s="455"/>
      <c r="M35" s="224">
        <f t="shared" si="4"/>
        <v>0.35309973045822102</v>
      </c>
      <c r="N35" s="179">
        <f t="shared" si="5"/>
        <v>5.5295417789757408</v>
      </c>
      <c r="O35" s="179">
        <f t="shared" si="46"/>
        <v>0.189</v>
      </c>
      <c r="P35" s="224">
        <f t="shared" si="6"/>
        <v>0.87770504428186369</v>
      </c>
      <c r="Q35" s="224">
        <f t="shared" si="7"/>
        <v>6.3</v>
      </c>
      <c r="R35" s="224">
        <f t="shared" si="8"/>
        <v>0.97522782697984844</v>
      </c>
      <c r="S35" s="179">
        <f t="shared" si="9"/>
        <v>510.00587940310163</v>
      </c>
      <c r="T35" s="179">
        <f t="shared" si="10"/>
        <v>6.3</v>
      </c>
      <c r="U35" s="224">
        <f t="shared" si="11"/>
        <v>4.9561068702290073E-2</v>
      </c>
      <c r="V35" s="224">
        <f t="shared" si="12"/>
        <v>0.11357744910941475</v>
      </c>
      <c r="W35" s="224">
        <f t="shared" si="13"/>
        <v>0.20808082279587437</v>
      </c>
      <c r="X35" s="204">
        <f t="shared" si="14"/>
        <v>350</v>
      </c>
      <c r="Y35" s="455">
        <f t="shared" si="47"/>
        <v>350</v>
      </c>
      <c r="AA35" s="224">
        <f t="shared" si="15"/>
        <v>0.44022823537648331</v>
      </c>
      <c r="AB35" s="180">
        <f t="shared" si="16"/>
        <v>1.8482864844050828</v>
      </c>
      <c r="AC35" s="180">
        <f t="shared" si="17"/>
        <v>0.28478376412494877</v>
      </c>
      <c r="AD35" s="180"/>
      <c r="AE35" s="180">
        <f t="shared" si="18"/>
        <v>1.217557251908397</v>
      </c>
      <c r="AF35" s="564">
        <f t="shared" si="61"/>
        <v>84.963787698627158</v>
      </c>
      <c r="AG35" s="547">
        <f t="shared" si="19"/>
        <v>0.1235820610687023</v>
      </c>
      <c r="AI35" s="180">
        <f t="shared" si="20"/>
        <v>0.15061202702301926</v>
      </c>
      <c r="AJ35" s="180">
        <f t="shared" si="21"/>
        <v>0.28999999999999998</v>
      </c>
      <c r="AK35" s="180">
        <f t="shared" si="22"/>
        <v>1.048550735827787</v>
      </c>
      <c r="AM35" s="564">
        <f t="shared" si="23"/>
        <v>30</v>
      </c>
      <c r="AN35" s="473">
        <f t="shared" si="24"/>
        <v>84.963787698627158</v>
      </c>
      <c r="AP35">
        <f t="shared" si="25"/>
        <v>30</v>
      </c>
      <c r="AQ35" s="473">
        <f t="shared" si="26"/>
        <v>84.963787698627158</v>
      </c>
      <c r="AR35" s="473"/>
      <c r="AS35" s="5">
        <f t="shared" si="48"/>
        <v>11.769720101781173</v>
      </c>
      <c r="AT35" s="5">
        <f t="shared" si="27"/>
        <v>0.6645833333333333</v>
      </c>
      <c r="AU35" s="5">
        <f t="shared" si="49"/>
        <v>11.10513676844784</v>
      </c>
      <c r="AV35" s="5">
        <f t="shared" si="28"/>
        <v>1.217557251908397</v>
      </c>
      <c r="AW35" s="180">
        <f t="shared" si="50"/>
        <v>5.6465517241379291E-2</v>
      </c>
      <c r="AX35" s="180">
        <f t="shared" si="29"/>
        <v>0.19649999999999995</v>
      </c>
      <c r="AY35" s="180">
        <f t="shared" si="30"/>
        <v>0.27362500000000001</v>
      </c>
      <c r="AZ35" s="180">
        <f t="shared" si="51"/>
        <v>0.71813613522156217</v>
      </c>
      <c r="BA35" s="473">
        <f t="shared" si="31"/>
        <v>0.3164682539682539</v>
      </c>
      <c r="BB35" s="5">
        <f t="shared" si="32"/>
        <v>8.097495560326548E-2</v>
      </c>
      <c r="BC35" s="5"/>
      <c r="BD35" s="180">
        <f t="shared" si="52"/>
        <v>3.9785885269359861E-2</v>
      </c>
      <c r="BE35" s="180">
        <f t="shared" si="33"/>
        <v>0.3252716813168135</v>
      </c>
      <c r="BF35" s="180"/>
      <c r="BG35" s="547">
        <f t="shared" si="34"/>
        <v>5.5402083333333312E-4</v>
      </c>
      <c r="BH35" s="547">
        <f t="shared" si="35"/>
        <v>9.1412539184952957E-3</v>
      </c>
      <c r="BI35" s="547">
        <f t="shared" si="36"/>
        <v>1.0620473462328393E-3</v>
      </c>
      <c r="BJ35" s="547">
        <f t="shared" si="37"/>
        <v>6.7243379040103765E-3</v>
      </c>
      <c r="BK35">
        <f t="shared" si="38"/>
        <v>6.96E-3</v>
      </c>
      <c r="BL35" s="473">
        <f t="shared" si="53"/>
        <v>24.441660002071846</v>
      </c>
      <c r="BM35" s="547">
        <f t="shared" si="54"/>
        <v>1.0499999999999999E-2</v>
      </c>
      <c r="BN35" s="547"/>
      <c r="BP35" s="473">
        <f t="shared" si="55"/>
        <v>10.499999999999998</v>
      </c>
      <c r="BQ35" s="547">
        <f t="shared" si="39"/>
        <v>1.7412083333333327E-4</v>
      </c>
      <c r="BR35" s="547">
        <f t="shared" si="40"/>
        <v>3.7030583333333344E-3</v>
      </c>
      <c r="BS35" s="547">
        <f t="shared" si="41"/>
        <v>1.5067793573101648E-4</v>
      </c>
      <c r="BT35" s="547">
        <f t="shared" si="42"/>
        <v>7.1454545454545442E-3</v>
      </c>
      <c r="BU35" s="473">
        <f t="shared" si="56"/>
        <v>11.173311647852229</v>
      </c>
      <c r="BV35" s="180">
        <f t="shared" si="57"/>
        <v>4.6114971649924071E-2</v>
      </c>
      <c r="BW35" s="5">
        <f t="shared" si="58"/>
        <v>0.189</v>
      </c>
      <c r="BX35" s="180">
        <f t="shared" si="59"/>
        <v>0.80386203683112434</v>
      </c>
      <c r="BY35" s="5">
        <f t="shared" si="60"/>
        <v>80.386203683112427</v>
      </c>
      <c r="CB35" s="582">
        <f t="shared" si="43"/>
        <v>-50</v>
      </c>
      <c r="CC35">
        <f t="shared" si="44"/>
        <v>-50</v>
      </c>
    </row>
    <row r="36" spans="5:81" x14ac:dyDescent="0.25">
      <c r="E36" s="177">
        <v>31</v>
      </c>
      <c r="F36" s="224">
        <f t="shared" si="45"/>
        <v>3.1E-2</v>
      </c>
      <c r="G36" s="224"/>
      <c r="H36" s="224">
        <f t="shared" si="0"/>
        <v>0.1953</v>
      </c>
      <c r="I36" s="560">
        <f t="shared" si="1"/>
        <v>24</v>
      </c>
      <c r="J36" s="179">
        <f t="shared" si="2"/>
        <v>13.1</v>
      </c>
      <c r="K36" s="455">
        <f t="shared" si="3"/>
        <v>37.1</v>
      </c>
      <c r="L36" s="455"/>
      <c r="M36" s="224">
        <f t="shared" si="4"/>
        <v>0.35309973045822102</v>
      </c>
      <c r="N36" s="179">
        <f t="shared" si="5"/>
        <v>5.5295417789757408</v>
      </c>
      <c r="O36" s="179">
        <f t="shared" si="46"/>
        <v>0.1953</v>
      </c>
      <c r="P36" s="224">
        <f t="shared" si="6"/>
        <v>0.87770504428186369</v>
      </c>
      <c r="Q36" s="224">
        <f t="shared" si="7"/>
        <v>6.3</v>
      </c>
      <c r="R36" s="224">
        <f t="shared" si="8"/>
        <v>0.97522782697984844</v>
      </c>
      <c r="S36" s="179">
        <f t="shared" si="9"/>
        <v>493.16737036795428</v>
      </c>
      <c r="T36" s="179">
        <f t="shared" si="10"/>
        <v>6.3</v>
      </c>
      <c r="U36" s="224">
        <f t="shared" si="11"/>
        <v>5.121310432569974E-2</v>
      </c>
      <c r="V36" s="224">
        <f t="shared" si="12"/>
        <v>0.11736336407972858</v>
      </c>
      <c r="W36" s="224">
        <f t="shared" si="13"/>
        <v>0.21501685022240352</v>
      </c>
      <c r="X36" s="204">
        <f t="shared" si="14"/>
        <v>350</v>
      </c>
      <c r="Y36" s="455">
        <f t="shared" si="47"/>
        <v>350</v>
      </c>
      <c r="AA36" s="224">
        <f t="shared" si="15"/>
        <v>0.44022823537648331</v>
      </c>
      <c r="AB36" s="180">
        <f t="shared" si="16"/>
        <v>1.8482864844050828</v>
      </c>
      <c r="AC36" s="180">
        <f t="shared" si="17"/>
        <v>0.28478376412494877</v>
      </c>
      <c r="AD36" s="180"/>
      <c r="AE36" s="180">
        <f t="shared" si="18"/>
        <v>1.217557251908397</v>
      </c>
      <c r="AF36" s="564">
        <f t="shared" si="61"/>
        <v>87.795913955248068</v>
      </c>
      <c r="AG36" s="547">
        <f t="shared" si="19"/>
        <v>0.1235820610687023</v>
      </c>
      <c r="AI36" s="180">
        <f t="shared" si="20"/>
        <v>0.15310165067730472</v>
      </c>
      <c r="AJ36" s="180">
        <f t="shared" si="21"/>
        <v>0.28999999999999998</v>
      </c>
      <c r="AK36" s="180">
        <f t="shared" si="22"/>
        <v>1.0501690936887131</v>
      </c>
      <c r="AM36" s="564">
        <f t="shared" si="23"/>
        <v>31</v>
      </c>
      <c r="AN36" s="473">
        <f t="shared" si="24"/>
        <v>87.795913955248068</v>
      </c>
      <c r="AP36">
        <f t="shared" si="25"/>
        <v>31</v>
      </c>
      <c r="AQ36" s="473">
        <f t="shared" si="26"/>
        <v>87.795913955248068</v>
      </c>
      <c r="AR36" s="473"/>
      <c r="AS36" s="5">
        <f t="shared" si="48"/>
        <v>11.390051711401135</v>
      </c>
      <c r="AT36" s="5">
        <f t="shared" si="27"/>
        <v>0.6645833333333333</v>
      </c>
      <c r="AU36" s="5">
        <f t="shared" si="49"/>
        <v>10.725468378067802</v>
      </c>
      <c r="AV36" s="5">
        <f t="shared" si="28"/>
        <v>1.217557251908397</v>
      </c>
      <c r="AW36" s="180">
        <f t="shared" si="50"/>
        <v>5.8347701149425273E-2</v>
      </c>
      <c r="AX36" s="180">
        <f t="shared" si="29"/>
        <v>0.20304999999999998</v>
      </c>
      <c r="AY36" s="180">
        <f t="shared" si="30"/>
        <v>0.27307916666666665</v>
      </c>
      <c r="AZ36" s="180">
        <f t="shared" si="51"/>
        <v>0.74355727124307658</v>
      </c>
      <c r="BA36" s="473">
        <f t="shared" si="31"/>
        <v>0.32701719576719579</v>
      </c>
      <c r="BB36" s="5">
        <f t="shared" si="32"/>
        <v>8.0813424931969191E-2</v>
      </c>
      <c r="BC36" s="5"/>
      <c r="BD36" s="180">
        <f t="shared" si="52"/>
        <v>4.0443547761732715E-2</v>
      </c>
      <c r="BE36" s="180">
        <f t="shared" si="33"/>
        <v>0.32494708971017283</v>
      </c>
      <c r="BF36" s="180"/>
      <c r="BG36" s="547">
        <f t="shared" si="34"/>
        <v>5.7248819444444439E-4</v>
      </c>
      <c r="BH36" s="547">
        <f t="shared" si="35"/>
        <v>9.4459623824451402E-3</v>
      </c>
      <c r="BI36" s="547">
        <f t="shared" si="36"/>
        <v>1.0974489244406009E-3</v>
      </c>
      <c r="BJ36" s="547">
        <f t="shared" si="37"/>
        <v>6.9484825008107225E-3</v>
      </c>
      <c r="BK36">
        <f t="shared" si="38"/>
        <v>6.96E-3</v>
      </c>
      <c r="BL36" s="473">
        <f t="shared" si="53"/>
        <v>25.024382002140911</v>
      </c>
      <c r="BM36" s="547">
        <f t="shared" si="54"/>
        <v>1.0849999999999999E-2</v>
      </c>
      <c r="BN36" s="547"/>
      <c r="BP36" s="473">
        <f t="shared" si="55"/>
        <v>10.849999999999998</v>
      </c>
      <c r="BQ36" s="547">
        <f t="shared" si="39"/>
        <v>1.7992486111111108E-4</v>
      </c>
      <c r="BR36" s="547">
        <f t="shared" si="40"/>
        <v>3.6956713888888892E-3</v>
      </c>
      <c r="BS36" s="547">
        <f t="shared" si="41"/>
        <v>1.6355007950414601E-4</v>
      </c>
      <c r="BT36" s="547">
        <f t="shared" si="42"/>
        <v>7.3836363636363631E-3</v>
      </c>
      <c r="BU36" s="473">
        <f t="shared" si="56"/>
        <v>11.42278269314051</v>
      </c>
      <c r="BV36" s="180">
        <f t="shared" si="57"/>
        <v>4.7297164695281418E-2</v>
      </c>
      <c r="BW36" s="5">
        <f t="shared" si="58"/>
        <v>0.1953</v>
      </c>
      <c r="BX36" s="180">
        <f t="shared" si="59"/>
        <v>0.80503826269078671</v>
      </c>
      <c r="BY36" s="5">
        <f t="shared" si="60"/>
        <v>80.503826269078672</v>
      </c>
      <c r="CB36" s="582">
        <f t="shared" si="43"/>
        <v>-50</v>
      </c>
      <c r="CC36">
        <f t="shared" si="44"/>
        <v>-50</v>
      </c>
    </row>
    <row r="37" spans="5:81" x14ac:dyDescent="0.25">
      <c r="E37" s="177">
        <v>32</v>
      </c>
      <c r="F37" s="224">
        <f t="shared" si="45"/>
        <v>3.2000000000000001E-2</v>
      </c>
      <c r="G37" s="224"/>
      <c r="H37" s="224">
        <f t="shared" ref="H37:H68" si="62">F37*Vout</f>
        <v>0.2016</v>
      </c>
      <c r="I37" s="560">
        <f t="shared" ref="I37:I68" si="63">Vin</f>
        <v>24</v>
      </c>
      <c r="J37" s="179">
        <f t="shared" ref="J37:J68" si="64">(T37+Vfwd1)*Nps</f>
        <v>13.1</v>
      </c>
      <c r="K37" s="455">
        <f t="shared" ref="K37:K68" si="65">(Vout+Vfwd1)*Nps+I37</f>
        <v>37.1</v>
      </c>
      <c r="L37" s="455"/>
      <c r="M37" s="224">
        <f t="shared" ref="M37:M68" si="66">(Vout+Vfwd1)*Nps/((Vout+Vfwd1)*Nps+I37)</f>
        <v>0.35309973045822102</v>
      </c>
      <c r="N37" s="179">
        <f t="shared" si="5"/>
        <v>5.5295417789757408</v>
      </c>
      <c r="O37" s="179">
        <f t="shared" si="46"/>
        <v>0.2016</v>
      </c>
      <c r="P37" s="224">
        <f t="shared" ref="P37:P68" si="67">N37/Vout</f>
        <v>0.87770504428186369</v>
      </c>
      <c r="Q37" s="224">
        <f t="shared" ref="Q37:Q68" si="68">MIN(Vout,N37/F37)</f>
        <v>6.3</v>
      </c>
      <c r="R37" s="224">
        <f t="shared" ref="R37:R68" si="69">Isw_max/2*I37*Nps*(Q37+Vfwd1)/Q37/(I37+Nps*(Q37+Vfwd1))</f>
        <v>0.97522782697984844</v>
      </c>
      <c r="S37" s="179">
        <f t="shared" ref="S37:S68" si="70">(SQRT(Isw_max^2*Nps^2*I37^2+4*Isw_max*F37/Efficiency*(Nps^2*Vfwd1*I37-Nps*I37^2)+4*(F37/Efficiency)^2*Nps^2*Vfwd1^2+8*(F37/Efficiency)^2*Nps*Vfwd1*I37+4*(F37/Efficiency)^2*I37^2)-2*F37/Efficiency*I37-2*F37/Efficiency*Nps*Vfwd1+Isw_max*Nps*I37)/(4*F37/Efficiency*Nps)</f>
        <v>477.38128099565364</v>
      </c>
      <c r="T37" s="179">
        <f t="shared" ref="T37:T68" si="71">MIN(Vout, S37)</f>
        <v>6.3</v>
      </c>
      <c r="U37" s="224">
        <f t="shared" ref="U37:U68" si="72">MIN(2*Vout*F37/(Efficiency*I37*M37), Isw_max)</f>
        <v>5.2865139949109415E-2</v>
      </c>
      <c r="V37" s="224">
        <f t="shared" ref="V37:V68" si="73">L*U37/I37*1000000</f>
        <v>0.12114927905004241</v>
      </c>
      <c r="W37" s="224">
        <f t="shared" ref="W37:W68" si="74">L*U37/J37*1000000</f>
        <v>0.22195287764893268</v>
      </c>
      <c r="X37" s="204">
        <f t="shared" ref="X37:X68" si="75">IF(1/((350000*L)*(1/I37+1/J37))&gt;Isw_min, 350, 0.001/((Isw_min*L)*(1/I37+1/J37)))</f>
        <v>350</v>
      </c>
      <c r="Y37" s="455">
        <f t="shared" si="47"/>
        <v>350</v>
      </c>
      <c r="AA37" s="224">
        <f t="shared" ref="AA37:AA68" si="76">1/((X37*1000*L)*(1/I37+1/J37))</f>
        <v>0.44022823537648331</v>
      </c>
      <c r="AB37" s="180">
        <f t="shared" ref="AB37:AB68" si="77">L*AA37/J37*1000000</f>
        <v>1.8482864844050828</v>
      </c>
      <c r="AC37" s="180">
        <f t="shared" ref="AC37:AC68" si="78">0.5*AB37*AA37*Nps*X37/1000</f>
        <v>0.28478376412494877</v>
      </c>
      <c r="AD37" s="180"/>
      <c r="AE37" s="180">
        <f t="shared" ref="AE37:AE68" si="79">L*Isw_min/J37*1000000</f>
        <v>1.217557251908397</v>
      </c>
      <c r="AF37" s="564">
        <f t="shared" si="61"/>
        <v>90.628040211868978</v>
      </c>
      <c r="AG37" s="547">
        <f t="shared" ref="AG37:AG68" si="80">0.5*AE37/1000000*Isw_min*Nps*X37*1000</f>
        <v>0.1235820610687023</v>
      </c>
      <c r="AI37" s="180">
        <f t="shared" ref="AI37:AI68" si="81">SQRT(F37/Efficiency/(0.5*L/J37*Fsw_DCM*Nps))</f>
        <v>0.15555143263965202</v>
      </c>
      <c r="AJ37" s="180">
        <f t="shared" ref="AJ37:AJ68" si="82">MAX(IF(F37&gt;AC37,U37,AI37),Isw_min)</f>
        <v>0.28999999999999998</v>
      </c>
      <c r="AK37" s="180">
        <f t="shared" ref="AK37:AK68" si="83">IF(F37&gt;AG37, (AJ37-Isw_min)/1.08*0.8+1.2, AF37*0.2/350+1)</f>
        <v>1.0517874515496395</v>
      </c>
      <c r="AM37" s="564">
        <f t="shared" ref="AM37:AM68" si="84">F37*1000</f>
        <v>32</v>
      </c>
      <c r="AN37" s="473">
        <f t="shared" ref="AN37:AN68" si="85">IF(F37&gt;AG37, Y37, AF37)</f>
        <v>90.628040211868978</v>
      </c>
      <c r="AP37">
        <f t="shared" ref="AP37:AP68" si="86">IF(H37&gt;N37, "",AM37)</f>
        <v>32</v>
      </c>
      <c r="AQ37" s="473">
        <f t="shared" ref="AQ37:AQ68" si="87">IF(H37&gt;N37, "",AN37)</f>
        <v>90.628040211868978</v>
      </c>
      <c r="AR37" s="473"/>
      <c r="AS37" s="5">
        <f t="shared" si="48"/>
        <v>11.034112595419849</v>
      </c>
      <c r="AT37" s="5">
        <f t="shared" ref="AT37:AT68" si="88">L*AJ37/I37*1000000</f>
        <v>0.6645833333333333</v>
      </c>
      <c r="AU37" s="5">
        <f t="shared" si="49"/>
        <v>10.369529262086516</v>
      </c>
      <c r="AV37" s="5">
        <f t="shared" ref="AV37:AV68" si="89">L*AJ37/J37*1000000</f>
        <v>1.217557251908397</v>
      </c>
      <c r="AW37" s="180">
        <f t="shared" si="50"/>
        <v>6.0229885057471254E-2</v>
      </c>
      <c r="AX37" s="180">
        <f t="shared" ref="AX37:AX68" si="90">0.5*L*AJ37^2*AN37*1000</f>
        <v>0.20959999999999998</v>
      </c>
      <c r="AY37" s="180">
        <f t="shared" ref="AY37:AY68" si="91">AJ37*Nps/2*(1-AW37)</f>
        <v>0.27253333333333329</v>
      </c>
      <c r="AZ37" s="180">
        <f t="shared" si="51"/>
        <v>0.7690802348336595</v>
      </c>
      <c r="BA37" s="473">
        <f t="shared" ref="BA37:BA68" si="92">F37*AT37/Vout_ripple*1000</f>
        <v>0.33756613756613757</v>
      </c>
      <c r="BB37" s="5">
        <f t="shared" ref="BB37:BB68" si="93">H37/Efficiency/I37*AU37/Vinripple1</f>
        <v>8.0651894260672888E-2</v>
      </c>
      <c r="BC37" s="5"/>
      <c r="BD37" s="180">
        <f t="shared" si="52"/>
        <v>4.1090685616626592E-2</v>
      </c>
      <c r="BE37" s="180">
        <f t="shared" ref="BE37:BE68" si="94">AJ37*Nps*SQRT((1-AW37)/3)</f>
        <v>0.32462217354265183</v>
      </c>
      <c r="BF37" s="180"/>
      <c r="BG37" s="547">
        <f t="shared" ref="BG37:BG68" si="95">Rdson*BD37^2</f>
        <v>5.9095555555555511E-4</v>
      </c>
      <c r="BH37" s="547">
        <f t="shared" ref="BH37:BH68" si="96">0.5*K37*AJ37*AN37*1000*Trise</f>
        <v>9.7506708463949848E-3</v>
      </c>
      <c r="BI37" s="547">
        <f t="shared" ref="BI37:BI68" si="97">Qg*Vdd*AN37*1000</f>
        <v>1.1328505026483623E-3</v>
      </c>
      <c r="BJ37" s="547">
        <f t="shared" ref="BJ37:BJ68" si="98">0.5*(Coss+Csw)*K37^2*AN37*1000</f>
        <v>7.1726270976110685E-3</v>
      </c>
      <c r="BK37">
        <f t="shared" ref="BK37:BK68" si="99">I37*IQ</f>
        <v>6.96E-3</v>
      </c>
      <c r="BL37" s="473">
        <f t="shared" si="53"/>
        <v>25.607104002209969</v>
      </c>
      <c r="BM37" s="547">
        <f t="shared" ref="BM37:BM68" si="100">Vfwd2*F37</f>
        <v>1.12E-2</v>
      </c>
      <c r="BN37" s="547"/>
      <c r="BP37" s="473">
        <f t="shared" si="55"/>
        <v>11.2</v>
      </c>
      <c r="BQ37" s="547">
        <f t="shared" ref="BQ37:BQ68" si="101">Rdcr_pri*BD37^2</f>
        <v>1.8572888888888876E-4</v>
      </c>
      <c r="BR37" s="547">
        <f t="shared" ref="BR37:BR68" si="102">Rdcr_sec*BE37^2</f>
        <v>3.6882844444444448E-3</v>
      </c>
      <c r="BS37" s="547">
        <f t="shared" ref="BS37:BS68" si="103">AJ37^2.5*AN37^2.5*k_core</f>
        <v>1.7706041214358241E-4</v>
      </c>
      <c r="BT37" s="547">
        <f t="shared" ref="BT37:BT68" si="104">0.5*Lleak*0.000000001*AJ37^2*AN37*1000</f>
        <v>7.6218181818181819E-3</v>
      </c>
      <c r="BU37" s="473">
        <f t="shared" si="56"/>
        <v>11.672891927295098</v>
      </c>
      <c r="BV37" s="180">
        <f t="shared" si="57"/>
        <v>4.8479995929505068E-2</v>
      </c>
      <c r="BW37" s="5">
        <f t="shared" si="58"/>
        <v>0.2016</v>
      </c>
      <c r="BX37" s="180">
        <f t="shared" si="59"/>
        <v>0.80614204767033393</v>
      </c>
      <c r="BY37" s="5">
        <f t="shared" si="60"/>
        <v>80.614204767033399</v>
      </c>
      <c r="CB37" s="582">
        <f t="shared" ref="CB37:CB68" si="105">IF(ABS(F37-Ioutmax_Vinnom)&lt;Iout/200, AN37, -50)</f>
        <v>-50</v>
      </c>
      <c r="CC37">
        <f t="shared" ref="CC37:CC68" si="106">IF(ABS(F37-Ioutmax_Vinnom)&lt;Iout/200, N37*BX37, -50)</f>
        <v>-50</v>
      </c>
    </row>
    <row r="38" spans="5:81" x14ac:dyDescent="0.25">
      <c r="E38" s="177">
        <v>33</v>
      </c>
      <c r="F38" s="224">
        <f t="shared" ref="F38:F69" si="107">IF(PLOT_TYPE=1, E38/100*Iout_max, min_I*EXP(N38*rr/100))</f>
        <v>3.3000000000000002E-2</v>
      </c>
      <c r="G38" s="224"/>
      <c r="H38" s="224">
        <f t="shared" si="62"/>
        <v>0.2079</v>
      </c>
      <c r="I38" s="560">
        <f t="shared" si="63"/>
        <v>24</v>
      </c>
      <c r="J38" s="179">
        <f t="shared" si="64"/>
        <v>13.1</v>
      </c>
      <c r="K38" s="455">
        <f t="shared" si="65"/>
        <v>37.1</v>
      </c>
      <c r="L38" s="455"/>
      <c r="M38" s="224">
        <f t="shared" si="66"/>
        <v>0.35309973045822102</v>
      </c>
      <c r="N38" s="179">
        <f t="shared" si="5"/>
        <v>5.5295417789757408</v>
      </c>
      <c r="O38" s="179">
        <f t="shared" si="46"/>
        <v>0.2079</v>
      </c>
      <c r="P38" s="224">
        <f t="shared" si="67"/>
        <v>0.87770504428186369</v>
      </c>
      <c r="Q38" s="224">
        <f t="shared" si="68"/>
        <v>6.3</v>
      </c>
      <c r="R38" s="224">
        <f t="shared" si="69"/>
        <v>0.97522782697984844</v>
      </c>
      <c r="S38" s="179">
        <f t="shared" si="70"/>
        <v>462.55193680008972</v>
      </c>
      <c r="T38" s="179">
        <f t="shared" si="71"/>
        <v>6.3</v>
      </c>
      <c r="U38" s="224">
        <f t="shared" si="72"/>
        <v>5.4517175572519082E-2</v>
      </c>
      <c r="V38" s="224">
        <f t="shared" si="73"/>
        <v>0.12493519402035623</v>
      </c>
      <c r="W38" s="224">
        <f t="shared" si="74"/>
        <v>0.22888890507546183</v>
      </c>
      <c r="X38" s="204">
        <f t="shared" si="75"/>
        <v>350</v>
      </c>
      <c r="Y38" s="455">
        <f t="shared" si="47"/>
        <v>350</v>
      </c>
      <c r="AA38" s="224">
        <f t="shared" si="76"/>
        <v>0.44022823537648331</v>
      </c>
      <c r="AB38" s="180">
        <f t="shared" si="77"/>
        <v>1.8482864844050828</v>
      </c>
      <c r="AC38" s="180">
        <f t="shared" si="78"/>
        <v>0.28478376412494877</v>
      </c>
      <c r="AD38" s="180"/>
      <c r="AE38" s="180">
        <f t="shared" si="79"/>
        <v>1.217557251908397</v>
      </c>
      <c r="AF38" s="564">
        <f t="shared" si="61"/>
        <v>93.460166468489888</v>
      </c>
      <c r="AG38" s="547">
        <f t="shared" si="80"/>
        <v>0.1235820610687023</v>
      </c>
      <c r="AI38" s="180">
        <f t="shared" si="81"/>
        <v>0.15796322658258455</v>
      </c>
      <c r="AJ38" s="180">
        <f t="shared" si="82"/>
        <v>0.28999999999999998</v>
      </c>
      <c r="AK38" s="180">
        <f t="shared" si="83"/>
        <v>1.0534058094105656</v>
      </c>
      <c r="AM38" s="564">
        <f t="shared" si="84"/>
        <v>33</v>
      </c>
      <c r="AN38" s="473">
        <f t="shared" si="85"/>
        <v>93.460166468489888</v>
      </c>
      <c r="AP38">
        <f t="shared" si="86"/>
        <v>33</v>
      </c>
      <c r="AQ38" s="473">
        <f t="shared" si="87"/>
        <v>93.460166468489888</v>
      </c>
      <c r="AR38" s="473"/>
      <c r="AS38" s="5">
        <f t="shared" si="48"/>
        <v>10.699745547073793</v>
      </c>
      <c r="AT38" s="5">
        <f t="shared" si="88"/>
        <v>0.6645833333333333</v>
      </c>
      <c r="AU38" s="5">
        <f t="shared" si="49"/>
        <v>10.03516221374046</v>
      </c>
      <c r="AV38" s="5">
        <f t="shared" si="89"/>
        <v>1.217557251908397</v>
      </c>
      <c r="AW38" s="180">
        <f t="shared" si="50"/>
        <v>6.2112068965517235E-2</v>
      </c>
      <c r="AX38" s="180">
        <f t="shared" si="90"/>
        <v>0.21615000000000001</v>
      </c>
      <c r="AY38" s="180">
        <f t="shared" si="91"/>
        <v>0.27198749999999999</v>
      </c>
      <c r="AZ38" s="180">
        <f t="shared" si="51"/>
        <v>0.79470563904591207</v>
      </c>
      <c r="BA38" s="473">
        <f t="shared" si="92"/>
        <v>0.34811507936507935</v>
      </c>
      <c r="BB38" s="5">
        <f t="shared" si="93"/>
        <v>8.0490363589376585E-2</v>
      </c>
      <c r="BC38" s="5"/>
      <c r="BD38" s="180">
        <f t="shared" si="52"/>
        <v>4.1727788502787119E-2</v>
      </c>
      <c r="BE38" s="180">
        <f t="shared" si="94"/>
        <v>0.32429693183870861</v>
      </c>
      <c r="BF38" s="180"/>
      <c r="BG38" s="547">
        <f t="shared" si="95"/>
        <v>6.0942291666666649E-4</v>
      </c>
      <c r="BH38" s="547">
        <f t="shared" si="96"/>
        <v>1.0055379310344828E-2</v>
      </c>
      <c r="BI38" s="547">
        <f t="shared" si="97"/>
        <v>1.1682520808561237E-3</v>
      </c>
      <c r="BJ38" s="547">
        <f t="shared" si="98"/>
        <v>7.3967716944114154E-3</v>
      </c>
      <c r="BK38">
        <f t="shared" si="99"/>
        <v>6.96E-3</v>
      </c>
      <c r="BL38" s="473">
        <f t="shared" si="53"/>
        <v>26.189826002279034</v>
      </c>
      <c r="BM38" s="547">
        <f t="shared" si="100"/>
        <v>1.155E-2</v>
      </c>
      <c r="BN38" s="547"/>
      <c r="BP38" s="473">
        <f t="shared" si="55"/>
        <v>11.549999999999999</v>
      </c>
      <c r="BQ38" s="547">
        <f t="shared" si="101"/>
        <v>1.9153291666666663E-4</v>
      </c>
      <c r="BR38" s="547">
        <f t="shared" si="102"/>
        <v>3.6808975000000013E-3</v>
      </c>
      <c r="BS38" s="547">
        <f t="shared" si="103"/>
        <v>1.9121914618463134E-4</v>
      </c>
      <c r="BT38" s="547">
        <f t="shared" si="104"/>
        <v>7.8599999999999989E-3</v>
      </c>
      <c r="BU38" s="473">
        <f t="shared" si="56"/>
        <v>11.923649562851299</v>
      </c>
      <c r="BV38" s="180">
        <f t="shared" si="57"/>
        <v>4.9663475565130337E-2</v>
      </c>
      <c r="BW38" s="5">
        <f t="shared" si="58"/>
        <v>0.2079</v>
      </c>
      <c r="BX38" s="180">
        <f t="shared" si="59"/>
        <v>0.80717966529935314</v>
      </c>
      <c r="BY38" s="5">
        <f t="shared" si="60"/>
        <v>80.71796652993531</v>
      </c>
      <c r="CB38" s="582">
        <f t="shared" si="105"/>
        <v>-50</v>
      </c>
      <c r="CC38">
        <f t="shared" si="106"/>
        <v>-50</v>
      </c>
    </row>
    <row r="39" spans="5:81" x14ac:dyDescent="0.25">
      <c r="E39" s="177">
        <v>34</v>
      </c>
      <c r="F39" s="224">
        <f t="shared" si="107"/>
        <v>3.4000000000000002E-2</v>
      </c>
      <c r="G39" s="224"/>
      <c r="H39" s="224">
        <f t="shared" si="62"/>
        <v>0.2142</v>
      </c>
      <c r="I39" s="560">
        <f t="shared" si="63"/>
        <v>24</v>
      </c>
      <c r="J39" s="179">
        <f t="shared" si="64"/>
        <v>13.1</v>
      </c>
      <c r="K39" s="455">
        <f t="shared" si="65"/>
        <v>37.1</v>
      </c>
      <c r="L39" s="455"/>
      <c r="M39" s="224">
        <f t="shared" si="66"/>
        <v>0.35309973045822102</v>
      </c>
      <c r="N39" s="179">
        <f t="shared" si="5"/>
        <v>5.5295417789757408</v>
      </c>
      <c r="O39" s="179">
        <f t="shared" si="46"/>
        <v>0.2142</v>
      </c>
      <c r="P39" s="224">
        <f t="shared" si="67"/>
        <v>0.87770504428186369</v>
      </c>
      <c r="Q39" s="224">
        <f t="shared" si="68"/>
        <v>6.3</v>
      </c>
      <c r="R39" s="224">
        <f t="shared" si="69"/>
        <v>0.97522782697984844</v>
      </c>
      <c r="S39" s="179">
        <f t="shared" si="70"/>
        <v>448.59491911713133</v>
      </c>
      <c r="T39" s="179">
        <f t="shared" si="71"/>
        <v>6.3</v>
      </c>
      <c r="U39" s="224">
        <f t="shared" si="72"/>
        <v>5.6169211195928749E-2</v>
      </c>
      <c r="V39" s="224">
        <f t="shared" si="73"/>
        <v>0.12872110899067007</v>
      </c>
      <c r="W39" s="224">
        <f t="shared" si="74"/>
        <v>0.23582493250199096</v>
      </c>
      <c r="X39" s="204">
        <f t="shared" si="75"/>
        <v>350</v>
      </c>
      <c r="Y39" s="455">
        <f t="shared" si="47"/>
        <v>350</v>
      </c>
      <c r="AA39" s="224">
        <f t="shared" si="76"/>
        <v>0.44022823537648331</v>
      </c>
      <c r="AB39" s="180">
        <f t="shared" si="77"/>
        <v>1.8482864844050828</v>
      </c>
      <c r="AC39" s="180">
        <f t="shared" si="78"/>
        <v>0.28478376412494877</v>
      </c>
      <c r="AD39" s="180"/>
      <c r="AE39" s="180">
        <f t="shared" si="79"/>
        <v>1.217557251908397</v>
      </c>
      <c r="AF39" s="564">
        <f t="shared" si="61"/>
        <v>96.292292725110784</v>
      </c>
      <c r="AG39" s="547">
        <f t="shared" si="80"/>
        <v>0.1235820610687023</v>
      </c>
      <c r="AI39" s="180">
        <f t="shared" si="81"/>
        <v>0.16033874674735893</v>
      </c>
      <c r="AJ39" s="180">
        <f t="shared" si="82"/>
        <v>0.28999999999999998</v>
      </c>
      <c r="AK39" s="180">
        <f t="shared" si="83"/>
        <v>1.055024167271492</v>
      </c>
      <c r="AM39" s="564">
        <f t="shared" si="84"/>
        <v>34</v>
      </c>
      <c r="AN39" s="473">
        <f t="shared" si="85"/>
        <v>96.292292725110784</v>
      </c>
      <c r="AP39">
        <f t="shared" si="86"/>
        <v>34</v>
      </c>
      <c r="AQ39" s="473">
        <f t="shared" si="87"/>
        <v>96.292292725110784</v>
      </c>
      <c r="AR39" s="473"/>
      <c r="AS39" s="5">
        <f t="shared" si="48"/>
        <v>10.385047148630447</v>
      </c>
      <c r="AT39" s="5">
        <f t="shared" si="88"/>
        <v>0.6645833333333333</v>
      </c>
      <c r="AU39" s="5">
        <f t="shared" si="49"/>
        <v>9.7204638152971139</v>
      </c>
      <c r="AV39" s="5">
        <f t="shared" si="89"/>
        <v>1.217557251908397</v>
      </c>
      <c r="AW39" s="180">
        <f t="shared" si="50"/>
        <v>6.3994252873563195E-2</v>
      </c>
      <c r="AX39" s="180">
        <f t="shared" si="90"/>
        <v>0.22269999999999995</v>
      </c>
      <c r="AY39" s="180">
        <f t="shared" si="91"/>
        <v>0.27144166666666664</v>
      </c>
      <c r="AZ39" s="180">
        <f t="shared" si="51"/>
        <v>0.82043410186350652</v>
      </c>
      <c r="BA39" s="473">
        <f t="shared" si="92"/>
        <v>0.35866402116402113</v>
      </c>
      <c r="BB39" s="5">
        <f t="shared" si="93"/>
        <v>8.0328832918080295E-2</v>
      </c>
      <c r="BC39" s="5"/>
      <c r="BD39" s="180">
        <f t="shared" si="52"/>
        <v>4.235530925659995E-2</v>
      </c>
      <c r="BE39" s="180">
        <f t="shared" si="94"/>
        <v>0.32397136361790441</v>
      </c>
      <c r="BF39" s="180"/>
      <c r="BG39" s="547">
        <f t="shared" si="95"/>
        <v>6.2789027777777754E-4</v>
      </c>
      <c r="BH39" s="547">
        <f t="shared" si="96"/>
        <v>1.0360087774294671E-2</v>
      </c>
      <c r="BI39" s="547">
        <f t="shared" si="97"/>
        <v>1.2036536590638847E-3</v>
      </c>
      <c r="BJ39" s="547">
        <f t="shared" si="98"/>
        <v>7.6209162912117597E-3</v>
      </c>
      <c r="BK39">
        <f t="shared" si="99"/>
        <v>6.96E-3</v>
      </c>
      <c r="BL39" s="473">
        <f t="shared" si="53"/>
        <v>26.772548002348096</v>
      </c>
      <c r="BM39" s="547">
        <f t="shared" si="100"/>
        <v>1.1900000000000001E-2</v>
      </c>
      <c r="BN39" s="547"/>
      <c r="BP39" s="473">
        <f t="shared" si="55"/>
        <v>11.9</v>
      </c>
      <c r="BQ39" s="547">
        <f t="shared" si="101"/>
        <v>1.9733694444444436E-4</v>
      </c>
      <c r="BR39" s="547">
        <f t="shared" si="102"/>
        <v>3.6735105555555556E-3</v>
      </c>
      <c r="BS39" s="547">
        <f t="shared" si="103"/>
        <v>2.0603633576152182E-4</v>
      </c>
      <c r="BT39" s="547">
        <f t="shared" si="104"/>
        <v>8.0981818181818169E-3</v>
      </c>
      <c r="BU39" s="473">
        <f t="shared" si="56"/>
        <v>12.175065653943339</v>
      </c>
      <c r="BV39" s="180">
        <f t="shared" si="57"/>
        <v>5.0847613656291438E-2</v>
      </c>
      <c r="BW39" s="5">
        <f t="shared" si="58"/>
        <v>0.2142</v>
      </c>
      <c r="BX39" s="180">
        <f t="shared" si="59"/>
        <v>0.80815668190761525</v>
      </c>
      <c r="BY39" s="5">
        <f t="shared" si="60"/>
        <v>80.815668190761528</v>
      </c>
      <c r="CB39" s="582">
        <f t="shared" si="105"/>
        <v>-50</v>
      </c>
      <c r="CC39">
        <f t="shared" si="106"/>
        <v>-50</v>
      </c>
    </row>
    <row r="40" spans="5:81" x14ac:dyDescent="0.25">
      <c r="E40" s="177">
        <v>35</v>
      </c>
      <c r="F40" s="224">
        <f t="shared" si="107"/>
        <v>3.4999999999999996E-2</v>
      </c>
      <c r="G40" s="224"/>
      <c r="H40" s="224">
        <f t="shared" si="62"/>
        <v>0.22049999999999997</v>
      </c>
      <c r="I40" s="560">
        <f t="shared" si="63"/>
        <v>24</v>
      </c>
      <c r="J40" s="179">
        <f t="shared" si="64"/>
        <v>13.1</v>
      </c>
      <c r="K40" s="455">
        <f t="shared" si="65"/>
        <v>37.1</v>
      </c>
      <c r="L40" s="455"/>
      <c r="M40" s="224">
        <f t="shared" si="66"/>
        <v>0.35309973045822102</v>
      </c>
      <c r="N40" s="179">
        <f t="shared" si="5"/>
        <v>5.5295417789757408</v>
      </c>
      <c r="O40" s="179">
        <f t="shared" si="46"/>
        <v>0.22049999999999997</v>
      </c>
      <c r="P40" s="224">
        <f t="shared" si="67"/>
        <v>0.87770504428186369</v>
      </c>
      <c r="Q40" s="224">
        <f t="shared" si="68"/>
        <v>6.3</v>
      </c>
      <c r="R40" s="224">
        <f t="shared" si="69"/>
        <v>0.97522782697984844</v>
      </c>
      <c r="S40" s="179">
        <f t="shared" si="70"/>
        <v>435.43545713005847</v>
      </c>
      <c r="T40" s="179">
        <f t="shared" si="71"/>
        <v>6.3</v>
      </c>
      <c r="U40" s="224">
        <f t="shared" si="72"/>
        <v>5.7821246819338416E-2</v>
      </c>
      <c r="V40" s="224">
        <f t="shared" si="73"/>
        <v>0.13250702396098388</v>
      </c>
      <c r="W40" s="224">
        <f t="shared" si="74"/>
        <v>0.24276095992852009</v>
      </c>
      <c r="X40" s="204">
        <f t="shared" si="75"/>
        <v>350</v>
      </c>
      <c r="Y40" s="455">
        <f t="shared" si="47"/>
        <v>350</v>
      </c>
      <c r="AA40" s="224">
        <f t="shared" si="76"/>
        <v>0.44022823537648331</v>
      </c>
      <c r="AB40" s="180">
        <f t="shared" si="77"/>
        <v>1.8482864844050828</v>
      </c>
      <c r="AC40" s="180">
        <f t="shared" si="78"/>
        <v>0.28478376412494877</v>
      </c>
      <c r="AD40" s="180"/>
      <c r="AE40" s="180">
        <f t="shared" si="79"/>
        <v>1.217557251908397</v>
      </c>
      <c r="AF40" s="564">
        <f t="shared" ref="AF40:AF71" si="108">MAX(10000,F40/(0.5*AE40/1000000*Isw_min*Nps))/1000</f>
        <v>99.124418981731679</v>
      </c>
      <c r="AG40" s="547">
        <f t="shared" si="80"/>
        <v>0.1235820610687023</v>
      </c>
      <c r="AI40" s="180">
        <f t="shared" si="81"/>
        <v>0.16267958219963088</v>
      </c>
      <c r="AJ40" s="180">
        <f t="shared" si="82"/>
        <v>0.28999999999999998</v>
      </c>
      <c r="AK40" s="180">
        <f t="shared" si="83"/>
        <v>1.0566425251324181</v>
      </c>
      <c r="AM40" s="564">
        <f t="shared" si="84"/>
        <v>34.999999999999993</v>
      </c>
      <c r="AN40" s="473">
        <f t="shared" si="85"/>
        <v>99.124418981731679</v>
      </c>
      <c r="AP40">
        <f t="shared" si="86"/>
        <v>34.999999999999993</v>
      </c>
      <c r="AQ40" s="473">
        <f t="shared" si="87"/>
        <v>99.124418981731679</v>
      </c>
      <c r="AR40" s="473"/>
      <c r="AS40" s="5">
        <f t="shared" si="48"/>
        <v>10.088331515812435</v>
      </c>
      <c r="AT40" s="5">
        <f t="shared" si="88"/>
        <v>0.6645833333333333</v>
      </c>
      <c r="AU40" s="5">
        <f t="shared" si="49"/>
        <v>9.4237481824791018</v>
      </c>
      <c r="AV40" s="5">
        <f t="shared" si="89"/>
        <v>1.217557251908397</v>
      </c>
      <c r="AW40" s="180">
        <f t="shared" si="50"/>
        <v>6.5876436781609177E-2</v>
      </c>
      <c r="AX40" s="180">
        <f t="shared" si="90"/>
        <v>0.22924999999999993</v>
      </c>
      <c r="AY40" s="180">
        <f t="shared" si="91"/>
        <v>0.27089583333333334</v>
      </c>
      <c r="AZ40" s="180">
        <f t="shared" si="51"/>
        <v>0.84626624625086488</v>
      </c>
      <c r="BA40" s="473">
        <f t="shared" si="92"/>
        <v>0.36921296296296291</v>
      </c>
      <c r="BB40" s="5">
        <f t="shared" si="93"/>
        <v>8.0167302246783992E-2</v>
      </c>
      <c r="BC40" s="5"/>
      <c r="BD40" s="180">
        <f t="shared" si="52"/>
        <v>4.2973667647887702E-2</v>
      </c>
      <c r="BE40" s="180">
        <f t="shared" si="94"/>
        <v>0.32364546789486931</v>
      </c>
      <c r="BF40" s="180"/>
      <c r="BG40" s="547">
        <f t="shared" si="95"/>
        <v>6.4635763888888848E-4</v>
      </c>
      <c r="BH40" s="547">
        <f t="shared" si="96"/>
        <v>1.0664796238244512E-2</v>
      </c>
      <c r="BI40" s="547">
        <f t="shared" si="97"/>
        <v>1.2390552372716459E-3</v>
      </c>
      <c r="BJ40" s="547">
        <f t="shared" si="98"/>
        <v>7.8450608880121057E-3</v>
      </c>
      <c r="BK40">
        <f t="shared" si="99"/>
        <v>6.96E-3</v>
      </c>
      <c r="BL40" s="473">
        <f t="shared" si="53"/>
        <v>27.35527000241715</v>
      </c>
      <c r="BM40" s="547">
        <f t="shared" si="100"/>
        <v>1.2249999999999999E-2</v>
      </c>
      <c r="BN40" s="547"/>
      <c r="BP40" s="473">
        <f t="shared" si="55"/>
        <v>12.249999999999998</v>
      </c>
      <c r="BQ40" s="547">
        <f t="shared" si="101"/>
        <v>2.0314097222222212E-4</v>
      </c>
      <c r="BR40" s="547">
        <f t="shared" si="102"/>
        <v>3.6661236111111108E-3</v>
      </c>
      <c r="BS40" s="547">
        <f t="shared" si="103"/>
        <v>2.2152188375814853E-4</v>
      </c>
      <c r="BT40" s="547">
        <f t="shared" si="104"/>
        <v>8.3363636363636348E-3</v>
      </c>
      <c r="BU40" s="473">
        <f t="shared" si="56"/>
        <v>12.427150103455118</v>
      </c>
      <c r="BV40" s="180">
        <f t="shared" si="57"/>
        <v>5.2032420105872265E-2</v>
      </c>
      <c r="BW40" s="5">
        <f t="shared" si="58"/>
        <v>0.22049999999999997</v>
      </c>
      <c r="BX40" s="180">
        <f t="shared" si="59"/>
        <v>0.80907805359208662</v>
      </c>
      <c r="BY40" s="5">
        <f t="shared" si="60"/>
        <v>80.907805359208666</v>
      </c>
      <c r="CB40" s="582">
        <f t="shared" si="105"/>
        <v>-50</v>
      </c>
      <c r="CC40">
        <f t="shared" si="106"/>
        <v>-50</v>
      </c>
    </row>
    <row r="41" spans="5:81" x14ac:dyDescent="0.25">
      <c r="E41" s="177">
        <v>36</v>
      </c>
      <c r="F41" s="224">
        <f t="shared" si="107"/>
        <v>3.5999999999999997E-2</v>
      </c>
      <c r="G41" s="224"/>
      <c r="H41" s="224">
        <f t="shared" si="62"/>
        <v>0.22679999999999997</v>
      </c>
      <c r="I41" s="560">
        <f t="shared" si="63"/>
        <v>24</v>
      </c>
      <c r="J41" s="179">
        <f t="shared" si="64"/>
        <v>13.1</v>
      </c>
      <c r="K41" s="455">
        <f t="shared" si="65"/>
        <v>37.1</v>
      </c>
      <c r="L41" s="455"/>
      <c r="M41" s="224">
        <f t="shared" si="66"/>
        <v>0.35309973045822102</v>
      </c>
      <c r="N41" s="179">
        <f t="shared" si="5"/>
        <v>5.5295417789757408</v>
      </c>
      <c r="O41" s="179">
        <f t="shared" si="46"/>
        <v>0.22679999999999997</v>
      </c>
      <c r="P41" s="224">
        <f t="shared" si="67"/>
        <v>0.87770504428186369</v>
      </c>
      <c r="Q41" s="224">
        <f t="shared" si="68"/>
        <v>6.3</v>
      </c>
      <c r="R41" s="224">
        <f t="shared" si="69"/>
        <v>0.97522782697984844</v>
      </c>
      <c r="S41" s="179">
        <f t="shared" si="70"/>
        <v>423.00708789075441</v>
      </c>
      <c r="T41" s="179">
        <f t="shared" si="71"/>
        <v>6.3</v>
      </c>
      <c r="U41" s="224">
        <f t="shared" si="72"/>
        <v>5.9473282442748084E-2</v>
      </c>
      <c r="V41" s="224">
        <f t="shared" si="73"/>
        <v>0.13629293893129768</v>
      </c>
      <c r="W41" s="224">
        <f t="shared" si="74"/>
        <v>0.24969698735504919</v>
      </c>
      <c r="X41" s="204">
        <f t="shared" si="75"/>
        <v>350</v>
      </c>
      <c r="Y41" s="455">
        <f t="shared" si="47"/>
        <v>350</v>
      </c>
      <c r="AA41" s="224">
        <f t="shared" si="76"/>
        <v>0.44022823537648331</v>
      </c>
      <c r="AB41" s="180">
        <f t="shared" si="77"/>
        <v>1.8482864844050828</v>
      </c>
      <c r="AC41" s="180">
        <f t="shared" si="78"/>
        <v>0.28478376412494877</v>
      </c>
      <c r="AD41" s="180"/>
      <c r="AE41" s="180">
        <f t="shared" si="79"/>
        <v>1.217557251908397</v>
      </c>
      <c r="AF41" s="564">
        <f t="shared" si="108"/>
        <v>101.95654523835259</v>
      </c>
      <c r="AG41" s="547">
        <f t="shared" si="80"/>
        <v>0.1235820610687023</v>
      </c>
      <c r="AI41" s="180">
        <f t="shared" si="81"/>
        <v>0.16498720926417057</v>
      </c>
      <c r="AJ41" s="180">
        <f t="shared" si="82"/>
        <v>0.28999999999999998</v>
      </c>
      <c r="AK41" s="180">
        <f t="shared" si="83"/>
        <v>1.0582608829933444</v>
      </c>
      <c r="AM41" s="564">
        <f t="shared" si="84"/>
        <v>36</v>
      </c>
      <c r="AN41" s="473">
        <f t="shared" si="85"/>
        <v>101.95654523835259</v>
      </c>
      <c r="AP41">
        <f t="shared" si="86"/>
        <v>36</v>
      </c>
      <c r="AQ41" s="473">
        <f t="shared" si="87"/>
        <v>101.95654523835259</v>
      </c>
      <c r="AR41" s="473"/>
      <c r="AS41" s="5">
        <f t="shared" si="48"/>
        <v>9.8081000848176441</v>
      </c>
      <c r="AT41" s="5">
        <f t="shared" si="88"/>
        <v>0.6645833333333333</v>
      </c>
      <c r="AU41" s="5">
        <f t="shared" si="49"/>
        <v>9.1435167514843112</v>
      </c>
      <c r="AV41" s="5">
        <f t="shared" si="89"/>
        <v>1.217557251908397</v>
      </c>
      <c r="AW41" s="180">
        <f t="shared" si="50"/>
        <v>6.7758620689655158E-2</v>
      </c>
      <c r="AX41" s="180">
        <f t="shared" si="90"/>
        <v>0.23579999999999995</v>
      </c>
      <c r="AY41" s="180">
        <f t="shared" si="91"/>
        <v>0.27034999999999998</v>
      </c>
      <c r="AZ41" s="180">
        <f t="shared" si="51"/>
        <v>0.87220270020343993</v>
      </c>
      <c r="BA41" s="473">
        <f t="shared" si="92"/>
        <v>0.37976190476190474</v>
      </c>
      <c r="BB41" s="5">
        <f t="shared" si="93"/>
        <v>8.0005771575487689E-2</v>
      </c>
      <c r="BC41" s="5"/>
      <c r="BD41" s="180">
        <f t="shared" si="52"/>
        <v>4.3583253664681798E-2</v>
      </c>
      <c r="BE41" s="180">
        <f t="shared" si="94"/>
        <v>0.32331924367926712</v>
      </c>
      <c r="BF41" s="180"/>
      <c r="BG41" s="547">
        <f t="shared" si="95"/>
        <v>6.6482499999999975E-4</v>
      </c>
      <c r="BH41" s="547">
        <f t="shared" si="96"/>
        <v>1.0969504702194356E-2</v>
      </c>
      <c r="BI41" s="547">
        <f t="shared" si="97"/>
        <v>1.2744568154794073E-3</v>
      </c>
      <c r="BJ41" s="547">
        <f t="shared" si="98"/>
        <v>8.06920548481245E-3</v>
      </c>
      <c r="BK41">
        <f t="shared" si="99"/>
        <v>6.96E-3</v>
      </c>
      <c r="BL41" s="473">
        <f t="shared" si="53"/>
        <v>27.937992002486215</v>
      </c>
      <c r="BM41" s="547">
        <f t="shared" si="100"/>
        <v>1.2599999999999998E-2</v>
      </c>
      <c r="BN41" s="547"/>
      <c r="BP41" s="473">
        <f t="shared" si="55"/>
        <v>12.599999999999998</v>
      </c>
      <c r="BQ41" s="547">
        <f t="shared" si="101"/>
        <v>2.0894499999999993E-4</v>
      </c>
      <c r="BR41" s="547">
        <f t="shared" si="102"/>
        <v>3.6587366666666664E-3</v>
      </c>
      <c r="BS41" s="547">
        <f t="shared" si="103"/>
        <v>2.3768554843639099E-4</v>
      </c>
      <c r="BT41" s="547">
        <f t="shared" si="104"/>
        <v>8.5745454545454527E-3</v>
      </c>
      <c r="BU41" s="473">
        <f t="shared" si="56"/>
        <v>12.679912669648511</v>
      </c>
      <c r="BV41" s="180">
        <f t="shared" si="57"/>
        <v>5.3217904672134726E-2</v>
      </c>
      <c r="BW41" s="5">
        <f t="shared" si="58"/>
        <v>0.22679999999999997</v>
      </c>
      <c r="BX41" s="180">
        <f t="shared" si="59"/>
        <v>0.80994820765319941</v>
      </c>
      <c r="BY41" s="5">
        <f t="shared" si="60"/>
        <v>80.994820765319943</v>
      </c>
      <c r="CB41" s="582">
        <f t="shared" si="105"/>
        <v>-50</v>
      </c>
      <c r="CC41">
        <f t="shared" si="106"/>
        <v>-50</v>
      </c>
    </row>
    <row r="42" spans="5:81" x14ac:dyDescent="0.25">
      <c r="E42" s="177">
        <v>37</v>
      </c>
      <c r="F42" s="224">
        <f t="shared" si="107"/>
        <v>3.6999999999999998E-2</v>
      </c>
      <c r="G42" s="224"/>
      <c r="H42" s="224">
        <f t="shared" si="62"/>
        <v>0.23309999999999997</v>
      </c>
      <c r="I42" s="560">
        <f t="shared" si="63"/>
        <v>24</v>
      </c>
      <c r="J42" s="179">
        <f t="shared" si="64"/>
        <v>13.1</v>
      </c>
      <c r="K42" s="455">
        <f t="shared" si="65"/>
        <v>37.1</v>
      </c>
      <c r="L42" s="455"/>
      <c r="M42" s="224">
        <f t="shared" si="66"/>
        <v>0.35309973045822102</v>
      </c>
      <c r="N42" s="179">
        <f t="shared" si="5"/>
        <v>5.5295417789757408</v>
      </c>
      <c r="O42" s="179">
        <f t="shared" si="46"/>
        <v>0.23309999999999997</v>
      </c>
      <c r="P42" s="224">
        <f t="shared" si="67"/>
        <v>0.87770504428186369</v>
      </c>
      <c r="Q42" s="224">
        <f t="shared" si="68"/>
        <v>6.3</v>
      </c>
      <c r="R42" s="224">
        <f t="shared" si="69"/>
        <v>0.97522782697984844</v>
      </c>
      <c r="S42" s="179">
        <f t="shared" si="70"/>
        <v>411.2505336347611</v>
      </c>
      <c r="T42" s="179">
        <f t="shared" si="71"/>
        <v>6.3</v>
      </c>
      <c r="U42" s="224">
        <f t="shared" si="72"/>
        <v>6.1125318066157751E-2</v>
      </c>
      <c r="V42" s="224">
        <f t="shared" si="73"/>
        <v>0.14007885390161154</v>
      </c>
      <c r="W42" s="224">
        <f t="shared" si="74"/>
        <v>0.25663301478157841</v>
      </c>
      <c r="X42" s="204">
        <f t="shared" si="75"/>
        <v>350</v>
      </c>
      <c r="Y42" s="455">
        <f t="shared" si="47"/>
        <v>350</v>
      </c>
      <c r="AA42" s="224">
        <f t="shared" si="76"/>
        <v>0.44022823537648331</v>
      </c>
      <c r="AB42" s="180">
        <f t="shared" si="77"/>
        <v>1.8482864844050828</v>
      </c>
      <c r="AC42" s="180">
        <f t="shared" si="78"/>
        <v>0.28478376412494877</v>
      </c>
      <c r="AD42" s="180"/>
      <c r="AE42" s="180">
        <f t="shared" si="79"/>
        <v>1.217557251908397</v>
      </c>
      <c r="AF42" s="564">
        <f t="shared" si="108"/>
        <v>104.7886714949735</v>
      </c>
      <c r="AG42" s="547">
        <f t="shared" si="80"/>
        <v>0.1235820610687023</v>
      </c>
      <c r="AI42" s="180">
        <f t="shared" si="81"/>
        <v>0.16726300241509467</v>
      </c>
      <c r="AJ42" s="180">
        <f t="shared" si="82"/>
        <v>0.28999999999999998</v>
      </c>
      <c r="AK42" s="180">
        <f t="shared" si="83"/>
        <v>1.0598792408542705</v>
      </c>
      <c r="AM42" s="564">
        <f t="shared" si="84"/>
        <v>37</v>
      </c>
      <c r="AN42" s="473">
        <f t="shared" si="85"/>
        <v>104.7886714949735</v>
      </c>
      <c r="AP42">
        <f t="shared" si="86"/>
        <v>37</v>
      </c>
      <c r="AQ42" s="473">
        <f t="shared" si="87"/>
        <v>104.7886714949735</v>
      </c>
      <c r="AR42" s="473"/>
      <c r="AS42" s="5">
        <f t="shared" si="48"/>
        <v>9.5430162987414917</v>
      </c>
      <c r="AT42" s="5">
        <f t="shared" si="88"/>
        <v>0.6645833333333333</v>
      </c>
      <c r="AU42" s="5">
        <f t="shared" si="49"/>
        <v>8.8784329654081589</v>
      </c>
      <c r="AV42" s="5">
        <f t="shared" si="89"/>
        <v>1.217557251908397</v>
      </c>
      <c r="AW42" s="180">
        <f t="shared" si="50"/>
        <v>6.9640804597701125E-2</v>
      </c>
      <c r="AX42" s="180">
        <f t="shared" si="90"/>
        <v>0.24234999999999995</v>
      </c>
      <c r="AY42" s="180">
        <f t="shared" si="91"/>
        <v>0.26980416666666662</v>
      </c>
      <c r="AZ42" s="180">
        <f t="shared" si="51"/>
        <v>0.89824409679860395</v>
      </c>
      <c r="BA42" s="473">
        <f t="shared" si="92"/>
        <v>0.39031084656084652</v>
      </c>
      <c r="BB42" s="5">
        <f t="shared" si="93"/>
        <v>7.9844240904191399E-2</v>
      </c>
      <c r="BC42" s="5"/>
      <c r="BD42" s="180">
        <f t="shared" si="52"/>
        <v>4.41844303900015E-2</v>
      </c>
      <c r="BE42" s="180">
        <f t="shared" si="94"/>
        <v>0.32299268997576053</v>
      </c>
      <c r="BF42" s="180"/>
      <c r="BG42" s="547">
        <f t="shared" si="95"/>
        <v>6.832923611111108E-4</v>
      </c>
      <c r="BH42" s="547">
        <f t="shared" si="96"/>
        <v>1.1274213166144199E-2</v>
      </c>
      <c r="BI42" s="547">
        <f t="shared" si="97"/>
        <v>1.3098583936871687E-3</v>
      </c>
      <c r="BJ42" s="547">
        <f t="shared" si="98"/>
        <v>8.2933500816127978E-3</v>
      </c>
      <c r="BK42">
        <f t="shared" si="99"/>
        <v>6.96E-3</v>
      </c>
      <c r="BL42" s="473">
        <f t="shared" si="53"/>
        <v>28.520714002555277</v>
      </c>
      <c r="BM42" s="547">
        <f t="shared" si="100"/>
        <v>1.2949999999999998E-2</v>
      </c>
      <c r="BN42" s="547"/>
      <c r="BP42" s="473">
        <f t="shared" si="55"/>
        <v>12.949999999999998</v>
      </c>
      <c r="BQ42" s="547">
        <f t="shared" si="101"/>
        <v>2.1474902777777769E-4</v>
      </c>
      <c r="BR42" s="547">
        <f t="shared" si="102"/>
        <v>3.6513497222222216E-3</v>
      </c>
      <c r="BS42" s="547">
        <f t="shared" si="103"/>
        <v>2.5453694959394035E-4</v>
      </c>
      <c r="BT42" s="547">
        <f t="shared" si="104"/>
        <v>8.8127272727272724E-3</v>
      </c>
      <c r="BU42" s="473">
        <f t="shared" si="56"/>
        <v>12.933362972321211</v>
      </c>
      <c r="BV42" s="180">
        <f t="shared" si="57"/>
        <v>5.4404076974876488E-2</v>
      </c>
      <c r="BW42" s="5">
        <f t="shared" si="58"/>
        <v>0.23309999999999997</v>
      </c>
      <c r="BX42" s="180">
        <f t="shared" si="59"/>
        <v>0.81077111132712532</v>
      </c>
      <c r="BY42" s="5">
        <f t="shared" si="60"/>
        <v>81.077111132712531</v>
      </c>
      <c r="CB42" s="582">
        <f t="shared" si="105"/>
        <v>-50</v>
      </c>
      <c r="CC42">
        <f t="shared" si="106"/>
        <v>-50</v>
      </c>
    </row>
    <row r="43" spans="5:81" x14ac:dyDescent="0.25">
      <c r="E43" s="177">
        <v>38</v>
      </c>
      <c r="F43" s="224">
        <f t="shared" si="107"/>
        <v>3.8000000000000006E-2</v>
      </c>
      <c r="G43" s="224"/>
      <c r="H43" s="224">
        <f t="shared" si="62"/>
        <v>0.23940000000000003</v>
      </c>
      <c r="I43" s="560">
        <f t="shared" si="63"/>
        <v>24</v>
      </c>
      <c r="J43" s="179">
        <f t="shared" si="64"/>
        <v>13.1</v>
      </c>
      <c r="K43" s="455">
        <f t="shared" si="65"/>
        <v>37.1</v>
      </c>
      <c r="L43" s="455"/>
      <c r="M43" s="224">
        <f t="shared" si="66"/>
        <v>0.35309973045822102</v>
      </c>
      <c r="N43" s="179">
        <f t="shared" si="5"/>
        <v>5.5295417789757408</v>
      </c>
      <c r="O43" s="179">
        <f t="shared" si="46"/>
        <v>0.23940000000000003</v>
      </c>
      <c r="P43" s="224">
        <f t="shared" si="67"/>
        <v>0.87770504428186369</v>
      </c>
      <c r="Q43" s="224">
        <f t="shared" si="68"/>
        <v>6.3</v>
      </c>
      <c r="R43" s="224">
        <f t="shared" si="69"/>
        <v>0.97522782697984844</v>
      </c>
      <c r="S43" s="179">
        <f t="shared" si="70"/>
        <v>400.11275636237559</v>
      </c>
      <c r="T43" s="179">
        <f t="shared" si="71"/>
        <v>6.3</v>
      </c>
      <c r="U43" s="224">
        <f t="shared" si="72"/>
        <v>6.2777353689567439E-2</v>
      </c>
      <c r="V43" s="224">
        <f t="shared" si="73"/>
        <v>0.14386476887192537</v>
      </c>
      <c r="W43" s="224">
        <f t="shared" si="74"/>
        <v>0.26356904220810756</v>
      </c>
      <c r="X43" s="204">
        <f t="shared" si="75"/>
        <v>350</v>
      </c>
      <c r="Y43" s="455">
        <f t="shared" si="47"/>
        <v>350</v>
      </c>
      <c r="AA43" s="224">
        <f t="shared" si="76"/>
        <v>0.44022823537648331</v>
      </c>
      <c r="AB43" s="180">
        <f t="shared" si="77"/>
        <v>1.8482864844050828</v>
      </c>
      <c r="AC43" s="180">
        <f t="shared" si="78"/>
        <v>0.28478376412494877</v>
      </c>
      <c r="AD43" s="180"/>
      <c r="AE43" s="180">
        <f t="shared" si="79"/>
        <v>1.217557251908397</v>
      </c>
      <c r="AF43" s="564">
        <f t="shared" si="108"/>
        <v>107.62079775159442</v>
      </c>
      <c r="AG43" s="547">
        <f t="shared" si="80"/>
        <v>0.1235820610687023</v>
      </c>
      <c r="AI43" s="180">
        <f t="shared" si="81"/>
        <v>0.16950824384980434</v>
      </c>
      <c r="AJ43" s="180">
        <f t="shared" si="82"/>
        <v>0.28999999999999998</v>
      </c>
      <c r="AK43" s="180">
        <f t="shared" si="83"/>
        <v>1.0614975987151969</v>
      </c>
      <c r="AM43" s="564">
        <f t="shared" si="84"/>
        <v>38.000000000000007</v>
      </c>
      <c r="AN43" s="473">
        <f t="shared" si="85"/>
        <v>107.62079775159442</v>
      </c>
      <c r="AP43">
        <f t="shared" si="86"/>
        <v>38.000000000000007</v>
      </c>
      <c r="AQ43" s="473">
        <f t="shared" si="87"/>
        <v>107.62079775159442</v>
      </c>
      <c r="AR43" s="473"/>
      <c r="AS43" s="5">
        <f t="shared" si="48"/>
        <v>9.2918842908798709</v>
      </c>
      <c r="AT43" s="5">
        <f t="shared" si="88"/>
        <v>0.6645833333333333</v>
      </c>
      <c r="AU43" s="5">
        <f t="shared" si="49"/>
        <v>8.627300957546538</v>
      </c>
      <c r="AV43" s="5">
        <f t="shared" si="89"/>
        <v>1.217557251908397</v>
      </c>
      <c r="AW43" s="180">
        <f t="shared" si="50"/>
        <v>7.1522988505747134E-2</v>
      </c>
      <c r="AX43" s="180">
        <f t="shared" si="90"/>
        <v>0.24889999999999998</v>
      </c>
      <c r="AY43" s="180">
        <f t="shared" si="91"/>
        <v>0.26925833333333332</v>
      </c>
      <c r="AZ43" s="180">
        <f t="shared" si="51"/>
        <v>0.92439107424716038</v>
      </c>
      <c r="BA43" s="473">
        <f t="shared" si="92"/>
        <v>0.40085978835978836</v>
      </c>
      <c r="BB43" s="5">
        <f t="shared" si="93"/>
        <v>7.968271023289511E-2</v>
      </c>
      <c r="BC43" s="5"/>
      <c r="BD43" s="180">
        <f t="shared" si="52"/>
        <v>4.4777536530918913E-2</v>
      </c>
      <c r="BE43" s="180">
        <f t="shared" si="94"/>
        <v>0.32266580578397547</v>
      </c>
      <c r="BF43" s="180"/>
      <c r="BG43" s="547">
        <f t="shared" si="95"/>
        <v>7.0175972222222217E-4</v>
      </c>
      <c r="BH43" s="547">
        <f t="shared" si="96"/>
        <v>1.1578921630094045E-2</v>
      </c>
      <c r="BI43" s="547">
        <f t="shared" si="97"/>
        <v>1.3452599718949301E-3</v>
      </c>
      <c r="BJ43" s="547">
        <f t="shared" si="98"/>
        <v>8.5174946784131438E-3</v>
      </c>
      <c r="BK43">
        <f t="shared" si="99"/>
        <v>6.96E-3</v>
      </c>
      <c r="BL43" s="473">
        <f t="shared" si="53"/>
        <v>29.103436002624342</v>
      </c>
      <c r="BM43" s="547">
        <f t="shared" si="100"/>
        <v>1.3300000000000001E-2</v>
      </c>
      <c r="BN43" s="547"/>
      <c r="BP43" s="473">
        <f t="shared" si="55"/>
        <v>13.3</v>
      </c>
      <c r="BQ43" s="547">
        <f t="shared" si="101"/>
        <v>2.2055305555555556E-4</v>
      </c>
      <c r="BR43" s="547">
        <f t="shared" si="102"/>
        <v>3.6439627777777764E-3</v>
      </c>
      <c r="BS43" s="547">
        <f t="shared" si="103"/>
        <v>2.7208557429709814E-4</v>
      </c>
      <c r="BT43" s="547">
        <f t="shared" si="104"/>
        <v>9.0509090909090921E-3</v>
      </c>
      <c r="BU43" s="473">
        <f t="shared" si="56"/>
        <v>13.187510498539522</v>
      </c>
      <c r="BV43" s="180">
        <f t="shared" si="57"/>
        <v>5.5590946501163863E-2</v>
      </c>
      <c r="BW43" s="5">
        <f t="shared" si="58"/>
        <v>0.23940000000000003</v>
      </c>
      <c r="BX43" s="180">
        <f t="shared" si="59"/>
        <v>0.81155033006769073</v>
      </c>
      <c r="BY43" s="5">
        <f t="shared" si="60"/>
        <v>81.155033006769074</v>
      </c>
      <c r="CB43" s="582">
        <f t="shared" si="105"/>
        <v>-50</v>
      </c>
      <c r="CC43">
        <f t="shared" si="106"/>
        <v>-50</v>
      </c>
    </row>
    <row r="44" spans="5:81" x14ac:dyDescent="0.25">
      <c r="E44" s="177">
        <v>39</v>
      </c>
      <c r="F44" s="224">
        <f t="shared" si="107"/>
        <v>3.9000000000000007E-2</v>
      </c>
      <c r="G44" s="224"/>
      <c r="H44" s="224">
        <f t="shared" si="62"/>
        <v>0.24570000000000003</v>
      </c>
      <c r="I44" s="560">
        <f t="shared" si="63"/>
        <v>24</v>
      </c>
      <c r="J44" s="179">
        <f t="shared" si="64"/>
        <v>13.1</v>
      </c>
      <c r="K44" s="455">
        <f t="shared" si="65"/>
        <v>37.1</v>
      </c>
      <c r="L44" s="455"/>
      <c r="M44" s="224">
        <f t="shared" si="66"/>
        <v>0.35309973045822102</v>
      </c>
      <c r="N44" s="179">
        <f t="shared" si="5"/>
        <v>5.5295417789757408</v>
      </c>
      <c r="O44" s="179">
        <f t="shared" si="46"/>
        <v>0.24570000000000003</v>
      </c>
      <c r="P44" s="224">
        <f t="shared" si="67"/>
        <v>0.87770504428186369</v>
      </c>
      <c r="Q44" s="224">
        <f t="shared" si="68"/>
        <v>6.3</v>
      </c>
      <c r="R44" s="224">
        <f t="shared" si="69"/>
        <v>0.97522782697984844</v>
      </c>
      <c r="S44" s="179">
        <f t="shared" si="70"/>
        <v>389.54615786881118</v>
      </c>
      <c r="T44" s="179">
        <f t="shared" si="71"/>
        <v>6.3</v>
      </c>
      <c r="U44" s="224">
        <f t="shared" si="72"/>
        <v>6.4429389312977106E-2</v>
      </c>
      <c r="V44" s="224">
        <f t="shared" si="73"/>
        <v>0.1476506838422392</v>
      </c>
      <c r="W44" s="224">
        <f t="shared" si="74"/>
        <v>0.27050506963463672</v>
      </c>
      <c r="X44" s="204">
        <f t="shared" si="75"/>
        <v>350</v>
      </c>
      <c r="Y44" s="455">
        <f t="shared" si="47"/>
        <v>350</v>
      </c>
      <c r="AA44" s="224">
        <f t="shared" si="76"/>
        <v>0.44022823537648331</v>
      </c>
      <c r="AB44" s="180">
        <f t="shared" si="77"/>
        <v>1.8482864844050828</v>
      </c>
      <c r="AC44" s="180">
        <f t="shared" si="78"/>
        <v>0.28478376412494877</v>
      </c>
      <c r="AD44" s="180"/>
      <c r="AE44" s="180">
        <f t="shared" si="79"/>
        <v>1.217557251908397</v>
      </c>
      <c r="AF44" s="564">
        <f t="shared" si="108"/>
        <v>110.45292400821532</v>
      </c>
      <c r="AG44" s="547">
        <f t="shared" si="80"/>
        <v>0.1235820610687023</v>
      </c>
      <c r="AI44" s="180">
        <f t="shared" si="81"/>
        <v>0.17172413193601385</v>
      </c>
      <c r="AJ44" s="180">
        <f t="shared" si="82"/>
        <v>0.28999999999999998</v>
      </c>
      <c r="AK44" s="180">
        <f t="shared" si="83"/>
        <v>1.063115956576123</v>
      </c>
      <c r="AM44" s="564">
        <f t="shared" si="84"/>
        <v>39.000000000000007</v>
      </c>
      <c r="AN44" s="473">
        <f t="shared" si="85"/>
        <v>110.45292400821532</v>
      </c>
      <c r="AP44">
        <f t="shared" si="86"/>
        <v>39.000000000000007</v>
      </c>
      <c r="AQ44" s="473">
        <f t="shared" si="87"/>
        <v>110.45292400821532</v>
      </c>
      <c r="AR44" s="473"/>
      <c r="AS44" s="5">
        <f t="shared" si="48"/>
        <v>9.0536308475239782</v>
      </c>
      <c r="AT44" s="5">
        <f t="shared" si="88"/>
        <v>0.6645833333333333</v>
      </c>
      <c r="AU44" s="5">
        <f t="shared" si="49"/>
        <v>8.3890475141906453</v>
      </c>
      <c r="AV44" s="5">
        <f t="shared" si="89"/>
        <v>1.217557251908397</v>
      </c>
      <c r="AW44" s="180">
        <f t="shared" si="50"/>
        <v>7.3405172413793088E-2</v>
      </c>
      <c r="AX44" s="180">
        <f t="shared" si="90"/>
        <v>0.25545000000000001</v>
      </c>
      <c r="AY44" s="180">
        <f t="shared" si="91"/>
        <v>0.26871249999999997</v>
      </c>
      <c r="AZ44" s="180">
        <f t="shared" si="51"/>
        <v>0.95064427594548095</v>
      </c>
      <c r="BA44" s="473">
        <f t="shared" si="92"/>
        <v>0.41140873015873025</v>
      </c>
      <c r="BB44" s="5">
        <f t="shared" si="93"/>
        <v>7.952117956159882E-2</v>
      </c>
      <c r="BC44" s="5"/>
      <c r="BD44" s="180">
        <f t="shared" si="52"/>
        <v>4.5362888649937913E-2</v>
      </c>
      <c r="BE44" s="180">
        <f t="shared" si="94"/>
        <v>0.32233859009846566</v>
      </c>
      <c r="BF44" s="180"/>
      <c r="BG44" s="547">
        <f t="shared" si="95"/>
        <v>7.2022708333333311E-4</v>
      </c>
      <c r="BH44" s="547">
        <f t="shared" si="96"/>
        <v>1.1883630094043885E-2</v>
      </c>
      <c r="BI44" s="547">
        <f t="shared" si="97"/>
        <v>1.3806615501026913E-3</v>
      </c>
      <c r="BJ44" s="547">
        <f t="shared" si="98"/>
        <v>8.7416392752134916E-3</v>
      </c>
      <c r="BK44">
        <f t="shared" si="99"/>
        <v>6.96E-3</v>
      </c>
      <c r="BL44" s="473">
        <f t="shared" si="53"/>
        <v>29.6861580026934</v>
      </c>
      <c r="BM44" s="547">
        <f t="shared" si="100"/>
        <v>1.3650000000000002E-2</v>
      </c>
      <c r="BN44" s="547"/>
      <c r="BP44" s="473">
        <f t="shared" si="55"/>
        <v>13.650000000000002</v>
      </c>
      <c r="BQ44" s="547">
        <f t="shared" si="101"/>
        <v>2.2635708333333326E-4</v>
      </c>
      <c r="BR44" s="547">
        <f t="shared" si="102"/>
        <v>3.6365758333333337E-3</v>
      </c>
      <c r="BS44" s="547">
        <f t="shared" si="103"/>
        <v>2.9034078222854115E-4</v>
      </c>
      <c r="BT44" s="547">
        <f t="shared" si="104"/>
        <v>9.28909090909091E-3</v>
      </c>
      <c r="BU44" s="473">
        <f t="shared" si="56"/>
        <v>13.442364607986118</v>
      </c>
      <c r="BV44" s="180">
        <f t="shared" si="57"/>
        <v>5.6778522610679519E-2</v>
      </c>
      <c r="BW44" s="5">
        <f t="shared" si="58"/>
        <v>0.24570000000000003</v>
      </c>
      <c r="BX44" s="180">
        <f t="shared" si="59"/>
        <v>0.81228907718595544</v>
      </c>
      <c r="BY44" s="5">
        <f t="shared" si="60"/>
        <v>81.228907718595551</v>
      </c>
      <c r="CB44" s="582">
        <f t="shared" si="105"/>
        <v>-50</v>
      </c>
      <c r="CC44">
        <f t="shared" si="106"/>
        <v>-50</v>
      </c>
    </row>
    <row r="45" spans="5:81" x14ac:dyDescent="0.25">
      <c r="E45" s="177">
        <v>40</v>
      </c>
      <c r="F45" s="224">
        <f t="shared" si="107"/>
        <v>4.0000000000000008E-2</v>
      </c>
      <c r="G45" s="224"/>
      <c r="H45" s="224">
        <f t="shared" si="62"/>
        <v>0.25200000000000006</v>
      </c>
      <c r="I45" s="560">
        <f t="shared" si="63"/>
        <v>24</v>
      </c>
      <c r="J45" s="179">
        <f t="shared" si="64"/>
        <v>13.1</v>
      </c>
      <c r="K45" s="455">
        <f t="shared" si="65"/>
        <v>37.1</v>
      </c>
      <c r="L45" s="455"/>
      <c r="M45" s="224">
        <f t="shared" si="66"/>
        <v>0.35309973045822102</v>
      </c>
      <c r="N45" s="179">
        <f t="shared" si="5"/>
        <v>5.5295417789757408</v>
      </c>
      <c r="O45" s="179">
        <f t="shared" si="46"/>
        <v>0.25200000000000006</v>
      </c>
      <c r="P45" s="224">
        <f t="shared" si="67"/>
        <v>0.87770504428186369</v>
      </c>
      <c r="Q45" s="224">
        <f t="shared" si="68"/>
        <v>6.3</v>
      </c>
      <c r="R45" s="224">
        <f t="shared" si="69"/>
        <v>0.97522782697984844</v>
      </c>
      <c r="S45" s="179">
        <f t="shared" si="70"/>
        <v>379.50789976983168</v>
      </c>
      <c r="T45" s="179">
        <f t="shared" si="71"/>
        <v>6.3</v>
      </c>
      <c r="U45" s="224">
        <f t="shared" si="72"/>
        <v>6.6081424936386787E-2</v>
      </c>
      <c r="V45" s="224">
        <f t="shared" si="73"/>
        <v>0.15143659881255306</v>
      </c>
      <c r="W45" s="224">
        <f t="shared" si="74"/>
        <v>0.27744109706116593</v>
      </c>
      <c r="X45" s="204">
        <f t="shared" si="75"/>
        <v>350</v>
      </c>
      <c r="Y45" s="455">
        <f t="shared" si="47"/>
        <v>350</v>
      </c>
      <c r="AA45" s="224">
        <f t="shared" si="76"/>
        <v>0.44022823537648331</v>
      </c>
      <c r="AB45" s="180">
        <f t="shared" si="77"/>
        <v>1.8482864844050828</v>
      </c>
      <c r="AC45" s="180">
        <f t="shared" si="78"/>
        <v>0.28478376412494877</v>
      </c>
      <c r="AD45" s="180"/>
      <c r="AE45" s="180">
        <f t="shared" si="79"/>
        <v>1.217557251908397</v>
      </c>
      <c r="AF45" s="564">
        <f t="shared" si="108"/>
        <v>113.28505026483624</v>
      </c>
      <c r="AG45" s="547">
        <f t="shared" si="80"/>
        <v>0.1235820610687023</v>
      </c>
      <c r="AI45" s="180">
        <f t="shared" si="81"/>
        <v>0.17391178868987073</v>
      </c>
      <c r="AJ45" s="180">
        <f t="shared" si="82"/>
        <v>0.28999999999999998</v>
      </c>
      <c r="AK45" s="180">
        <f t="shared" si="83"/>
        <v>1.0647343144370494</v>
      </c>
      <c r="AM45" s="564">
        <f t="shared" si="84"/>
        <v>40.000000000000007</v>
      </c>
      <c r="AN45" s="473">
        <f t="shared" si="85"/>
        <v>113.28505026483624</v>
      </c>
      <c r="AP45">
        <f t="shared" si="86"/>
        <v>40.000000000000007</v>
      </c>
      <c r="AQ45" s="473">
        <f t="shared" si="87"/>
        <v>113.28505026483624</v>
      </c>
      <c r="AR45" s="473"/>
      <c r="AS45" s="5">
        <f t="shared" si="48"/>
        <v>8.8272900763358759</v>
      </c>
      <c r="AT45" s="5">
        <f t="shared" si="88"/>
        <v>0.6645833333333333</v>
      </c>
      <c r="AU45" s="5">
        <f t="shared" si="49"/>
        <v>8.1627067430025431</v>
      </c>
      <c r="AV45" s="5">
        <f t="shared" si="89"/>
        <v>1.217557251908397</v>
      </c>
      <c r="AW45" s="180">
        <f t="shared" si="50"/>
        <v>7.5287356321839097E-2</v>
      </c>
      <c r="AX45" s="180">
        <f t="shared" si="90"/>
        <v>0.26200000000000001</v>
      </c>
      <c r="AY45" s="180">
        <f t="shared" si="91"/>
        <v>0.26816666666666661</v>
      </c>
      <c r="AZ45" s="180">
        <f t="shared" si="51"/>
        <v>0.97700435052827872</v>
      </c>
      <c r="BA45" s="473">
        <f t="shared" si="92"/>
        <v>0.42195767195767198</v>
      </c>
      <c r="BB45" s="5">
        <f t="shared" si="93"/>
        <v>7.9359648890302517E-2</v>
      </c>
      <c r="BC45" s="5"/>
      <c r="BD45" s="180">
        <f t="shared" si="52"/>
        <v>4.5940783140424976E-2</v>
      </c>
      <c r="BE45" s="180">
        <f t="shared" si="94"/>
        <v>0.32201104190867602</v>
      </c>
      <c r="BF45" s="180"/>
      <c r="BG45" s="547">
        <f t="shared" si="95"/>
        <v>7.3869444444444438E-4</v>
      </c>
      <c r="BH45" s="547">
        <f t="shared" si="96"/>
        <v>1.2188338557993733E-2</v>
      </c>
      <c r="BI45" s="547">
        <f t="shared" si="97"/>
        <v>1.4160631283104529E-3</v>
      </c>
      <c r="BJ45" s="547">
        <f t="shared" si="98"/>
        <v>8.9657838720138376E-3</v>
      </c>
      <c r="BK45">
        <f t="shared" si="99"/>
        <v>6.96E-3</v>
      </c>
      <c r="BL45" s="473">
        <f t="shared" si="53"/>
        <v>30.268880002762469</v>
      </c>
      <c r="BM45" s="547">
        <f t="shared" si="100"/>
        <v>1.4000000000000002E-2</v>
      </c>
      <c r="BN45" s="547"/>
      <c r="BP45" s="473">
        <f t="shared" si="55"/>
        <v>14.000000000000002</v>
      </c>
      <c r="BQ45" s="547">
        <f t="shared" si="101"/>
        <v>2.3216111111111113E-4</v>
      </c>
      <c r="BR45" s="547">
        <f t="shared" si="102"/>
        <v>3.6291888888888893E-3</v>
      </c>
      <c r="BS45" s="547">
        <f t="shared" si="103"/>
        <v>3.0931181068529634E-4</v>
      </c>
      <c r="BT45" s="547">
        <f t="shared" si="104"/>
        <v>9.527272727272728E-3</v>
      </c>
      <c r="BU45" s="473">
        <f t="shared" si="56"/>
        <v>13.697934537958023</v>
      </c>
      <c r="BV45" s="180">
        <f t="shared" si="57"/>
        <v>5.7966814540720488E-2</v>
      </c>
      <c r="BW45" s="5">
        <f t="shared" si="58"/>
        <v>0.25200000000000006</v>
      </c>
      <c r="BX45" s="180">
        <f t="shared" si="59"/>
        <v>0.81299025630659771</v>
      </c>
      <c r="BY45" s="5">
        <f t="shared" si="60"/>
        <v>81.29902563065977</v>
      </c>
      <c r="CB45" s="582">
        <f t="shared" si="105"/>
        <v>-50</v>
      </c>
      <c r="CC45">
        <f t="shared" si="106"/>
        <v>-50</v>
      </c>
    </row>
    <row r="46" spans="5:81" x14ac:dyDescent="0.25">
      <c r="E46" s="177">
        <v>41</v>
      </c>
      <c r="F46" s="224">
        <f t="shared" si="107"/>
        <v>4.1000000000000002E-2</v>
      </c>
      <c r="G46" s="224"/>
      <c r="H46" s="224">
        <f t="shared" si="62"/>
        <v>0.25830000000000003</v>
      </c>
      <c r="I46" s="560">
        <f t="shared" si="63"/>
        <v>24</v>
      </c>
      <c r="J46" s="179">
        <f t="shared" si="64"/>
        <v>13.1</v>
      </c>
      <c r="K46" s="455">
        <f t="shared" si="65"/>
        <v>37.1</v>
      </c>
      <c r="L46" s="455"/>
      <c r="M46" s="224">
        <f t="shared" si="66"/>
        <v>0.35309973045822102</v>
      </c>
      <c r="N46" s="179">
        <f t="shared" si="5"/>
        <v>5.5295417789757408</v>
      </c>
      <c r="O46" s="179">
        <f t="shared" si="46"/>
        <v>0.25830000000000003</v>
      </c>
      <c r="P46" s="224">
        <f t="shared" si="67"/>
        <v>0.87770504428186369</v>
      </c>
      <c r="Q46" s="224">
        <f t="shared" si="68"/>
        <v>6.3</v>
      </c>
      <c r="R46" s="224">
        <f t="shared" si="69"/>
        <v>0.97522782697984844</v>
      </c>
      <c r="S46" s="179">
        <f t="shared" si="70"/>
        <v>369.95932303583248</v>
      </c>
      <c r="T46" s="179">
        <f t="shared" si="71"/>
        <v>6.3</v>
      </c>
      <c r="U46" s="224">
        <f t="shared" si="72"/>
        <v>6.7733460559796441E-2</v>
      </c>
      <c r="V46" s="224">
        <f t="shared" si="73"/>
        <v>0.15522251378286683</v>
      </c>
      <c r="W46" s="224">
        <f t="shared" si="74"/>
        <v>0.28437712448769498</v>
      </c>
      <c r="X46" s="204">
        <f t="shared" si="75"/>
        <v>350</v>
      </c>
      <c r="Y46" s="455">
        <f t="shared" si="47"/>
        <v>350</v>
      </c>
      <c r="AA46" s="224">
        <f t="shared" si="76"/>
        <v>0.44022823537648331</v>
      </c>
      <c r="AB46" s="180">
        <f t="shared" si="77"/>
        <v>1.8482864844050828</v>
      </c>
      <c r="AC46" s="180">
        <f t="shared" si="78"/>
        <v>0.28478376412494877</v>
      </c>
      <c r="AD46" s="180"/>
      <c r="AE46" s="180">
        <f t="shared" si="79"/>
        <v>1.217557251908397</v>
      </c>
      <c r="AF46" s="564">
        <f t="shared" si="108"/>
        <v>116.11717652145714</v>
      </c>
      <c r="AG46" s="547">
        <f t="shared" si="80"/>
        <v>0.1235820610687023</v>
      </c>
      <c r="AI46" s="180">
        <f t="shared" si="81"/>
        <v>0.17607226641763601</v>
      </c>
      <c r="AJ46" s="180">
        <f t="shared" si="82"/>
        <v>0.28999999999999998</v>
      </c>
      <c r="AK46" s="180">
        <f t="shared" si="83"/>
        <v>1.0663526722979755</v>
      </c>
      <c r="AM46" s="564">
        <f t="shared" si="84"/>
        <v>41</v>
      </c>
      <c r="AN46" s="473">
        <f t="shared" si="85"/>
        <v>116.11717652145714</v>
      </c>
      <c r="AP46">
        <f t="shared" si="86"/>
        <v>41</v>
      </c>
      <c r="AQ46" s="473">
        <f t="shared" si="87"/>
        <v>116.11717652145714</v>
      </c>
      <c r="AR46" s="473"/>
      <c r="AS46" s="5">
        <f t="shared" si="48"/>
        <v>8.6119903183764652</v>
      </c>
      <c r="AT46" s="5">
        <f t="shared" si="88"/>
        <v>0.6645833333333333</v>
      </c>
      <c r="AU46" s="5">
        <f t="shared" si="49"/>
        <v>7.9474069850431324</v>
      </c>
      <c r="AV46" s="5">
        <f t="shared" si="89"/>
        <v>1.217557251908397</v>
      </c>
      <c r="AW46" s="180">
        <f t="shared" si="50"/>
        <v>7.7169540229885064E-2</v>
      </c>
      <c r="AX46" s="180">
        <f t="shared" si="90"/>
        <v>0.26855000000000001</v>
      </c>
      <c r="AY46" s="180">
        <f t="shared" si="91"/>
        <v>0.26762083333333331</v>
      </c>
      <c r="AZ46" s="180">
        <f t="shared" si="51"/>
        <v>1.0034719519220292</v>
      </c>
      <c r="BA46" s="473">
        <f t="shared" si="92"/>
        <v>0.43250661375661376</v>
      </c>
      <c r="BB46" s="5">
        <f t="shared" si="93"/>
        <v>7.9198118219006214E-2</v>
      </c>
      <c r="BC46" s="5"/>
      <c r="BD46" s="180">
        <f t="shared" si="52"/>
        <v>4.6511497981084678E-2</v>
      </c>
      <c r="BE46" s="180">
        <f t="shared" si="94"/>
        <v>0.3216831601989068</v>
      </c>
      <c r="BF46" s="180"/>
      <c r="BG46" s="547">
        <f t="shared" si="95"/>
        <v>7.5716180555555532E-4</v>
      </c>
      <c r="BH46" s="547">
        <f t="shared" si="96"/>
        <v>1.2493047021943574E-2</v>
      </c>
      <c r="BI46" s="547">
        <f t="shared" si="97"/>
        <v>1.4514647065182141E-3</v>
      </c>
      <c r="BJ46" s="547">
        <f t="shared" si="98"/>
        <v>9.1899284688141819E-3</v>
      </c>
      <c r="BK46">
        <f t="shared" si="99"/>
        <v>6.96E-3</v>
      </c>
      <c r="BL46" s="473">
        <f t="shared" si="53"/>
        <v>30.851602002831527</v>
      </c>
      <c r="BM46" s="547">
        <f t="shared" si="100"/>
        <v>1.435E-2</v>
      </c>
      <c r="BN46" s="547"/>
      <c r="BP46" s="473">
        <f t="shared" si="55"/>
        <v>14.35</v>
      </c>
      <c r="BQ46" s="547">
        <f t="shared" si="101"/>
        <v>2.3796513888888884E-4</v>
      </c>
      <c r="BR46" s="547">
        <f t="shared" si="102"/>
        <v>3.6218019444444441E-3</v>
      </c>
      <c r="BS46" s="547">
        <f t="shared" si="103"/>
        <v>3.290077792581596E-4</v>
      </c>
      <c r="BT46" s="547">
        <f t="shared" si="104"/>
        <v>9.7654545454545459E-3</v>
      </c>
      <c r="BU46" s="473">
        <f t="shared" si="56"/>
        <v>13.954229408046038</v>
      </c>
      <c r="BV46" s="180">
        <f t="shared" si="57"/>
        <v>5.915583141087756E-2</v>
      </c>
      <c r="BW46" s="5">
        <f t="shared" si="58"/>
        <v>0.25830000000000003</v>
      </c>
      <c r="BX46" s="180">
        <f t="shared" si="59"/>
        <v>0.81365649782532057</v>
      </c>
      <c r="BY46" s="5">
        <f t="shared" si="60"/>
        <v>81.36564978253206</v>
      </c>
      <c r="CB46" s="582">
        <f t="shared" si="105"/>
        <v>-50</v>
      </c>
      <c r="CC46">
        <f t="shared" si="106"/>
        <v>-50</v>
      </c>
    </row>
    <row r="47" spans="5:81" x14ac:dyDescent="0.25">
      <c r="E47" s="177">
        <v>42</v>
      </c>
      <c r="F47" s="224">
        <f t="shared" si="107"/>
        <v>4.2000000000000003E-2</v>
      </c>
      <c r="G47" s="224"/>
      <c r="H47" s="224">
        <f t="shared" si="62"/>
        <v>0.2646</v>
      </c>
      <c r="I47" s="560">
        <f t="shared" si="63"/>
        <v>24</v>
      </c>
      <c r="J47" s="179">
        <f t="shared" si="64"/>
        <v>13.1</v>
      </c>
      <c r="K47" s="455">
        <f t="shared" si="65"/>
        <v>37.1</v>
      </c>
      <c r="L47" s="455"/>
      <c r="M47" s="224">
        <f t="shared" si="66"/>
        <v>0.35309973045822102</v>
      </c>
      <c r="N47" s="179">
        <f t="shared" si="5"/>
        <v>5.5295417789757408</v>
      </c>
      <c r="O47" s="179">
        <f t="shared" si="46"/>
        <v>0.2646</v>
      </c>
      <c r="P47" s="224">
        <f t="shared" si="67"/>
        <v>0.87770504428186369</v>
      </c>
      <c r="Q47" s="224">
        <f t="shared" si="68"/>
        <v>6.3</v>
      </c>
      <c r="R47" s="224">
        <f t="shared" si="69"/>
        <v>0.97522782697984844</v>
      </c>
      <c r="S47" s="179">
        <f t="shared" si="70"/>
        <v>360.86545044962122</v>
      </c>
      <c r="T47" s="179">
        <f t="shared" si="71"/>
        <v>6.3</v>
      </c>
      <c r="U47" s="224">
        <f t="shared" si="72"/>
        <v>6.9385496183206108E-2</v>
      </c>
      <c r="V47" s="224">
        <f t="shared" si="73"/>
        <v>0.15900842875318066</v>
      </c>
      <c r="W47" s="224">
        <f t="shared" si="74"/>
        <v>0.29131315191422413</v>
      </c>
      <c r="X47" s="204">
        <f t="shared" si="75"/>
        <v>350</v>
      </c>
      <c r="Y47" s="455">
        <f t="shared" si="47"/>
        <v>350</v>
      </c>
      <c r="AA47" s="224">
        <f t="shared" si="76"/>
        <v>0.44022823537648331</v>
      </c>
      <c r="AB47" s="180">
        <f t="shared" si="77"/>
        <v>1.8482864844050828</v>
      </c>
      <c r="AC47" s="180">
        <f t="shared" si="78"/>
        <v>0.28478376412494877</v>
      </c>
      <c r="AD47" s="180"/>
      <c r="AE47" s="180">
        <f t="shared" si="79"/>
        <v>1.217557251908397</v>
      </c>
      <c r="AF47" s="564">
        <f t="shared" si="108"/>
        <v>118.94930277807804</v>
      </c>
      <c r="AG47" s="547">
        <f t="shared" si="80"/>
        <v>0.1235820610687023</v>
      </c>
      <c r="AI47" s="180">
        <f t="shared" si="81"/>
        <v>0.17820655363250745</v>
      </c>
      <c r="AJ47" s="180">
        <f t="shared" si="82"/>
        <v>0.28999999999999998</v>
      </c>
      <c r="AK47" s="180">
        <f t="shared" si="83"/>
        <v>1.0679710301589018</v>
      </c>
      <c r="AM47" s="564">
        <f t="shared" si="84"/>
        <v>42</v>
      </c>
      <c r="AN47" s="473">
        <f t="shared" si="85"/>
        <v>118.94930277807804</v>
      </c>
      <c r="AP47">
        <f t="shared" si="86"/>
        <v>42</v>
      </c>
      <c r="AQ47" s="473">
        <f t="shared" si="87"/>
        <v>118.94930277807804</v>
      </c>
      <c r="AR47" s="473"/>
      <c r="AS47" s="5">
        <f t="shared" si="48"/>
        <v>8.4069429298436944</v>
      </c>
      <c r="AT47" s="5">
        <f t="shared" si="88"/>
        <v>0.6645833333333333</v>
      </c>
      <c r="AU47" s="5">
        <f t="shared" si="49"/>
        <v>7.7423595965103615</v>
      </c>
      <c r="AV47" s="5">
        <f t="shared" si="89"/>
        <v>1.217557251908397</v>
      </c>
      <c r="AW47" s="180">
        <f t="shared" si="50"/>
        <v>7.9051724137931018E-2</v>
      </c>
      <c r="AX47" s="180">
        <f t="shared" si="90"/>
        <v>0.27509999999999996</v>
      </c>
      <c r="AY47" s="180">
        <f t="shared" si="91"/>
        <v>0.26707499999999995</v>
      </c>
      <c r="AZ47" s="180">
        <f t="shared" si="51"/>
        <v>1.0300477393990453</v>
      </c>
      <c r="BA47" s="473">
        <f t="shared" si="92"/>
        <v>0.44305555555555554</v>
      </c>
      <c r="BB47" s="5">
        <f t="shared" si="93"/>
        <v>7.9036587547709924E-2</v>
      </c>
      <c r="BC47" s="5"/>
      <c r="BD47" s="180">
        <f t="shared" si="52"/>
        <v>4.7075294298956141E-2</v>
      </c>
      <c r="BE47" s="180">
        <f t="shared" si="94"/>
        <v>0.32135494394827657</v>
      </c>
      <c r="BF47" s="180"/>
      <c r="BG47" s="547">
        <f t="shared" si="95"/>
        <v>7.7562916666666637E-4</v>
      </c>
      <c r="BH47" s="547">
        <f t="shared" si="96"/>
        <v>1.2797755485893418E-2</v>
      </c>
      <c r="BI47" s="547">
        <f t="shared" si="97"/>
        <v>1.4868662847259753E-3</v>
      </c>
      <c r="BJ47" s="547">
        <f t="shared" si="98"/>
        <v>9.4140730656145279E-3</v>
      </c>
      <c r="BK47">
        <f t="shared" si="99"/>
        <v>6.96E-3</v>
      </c>
      <c r="BL47" s="473">
        <f t="shared" si="53"/>
        <v>31.434324002900588</v>
      </c>
      <c r="BM47" s="547">
        <f t="shared" si="100"/>
        <v>1.47E-2</v>
      </c>
      <c r="BN47" s="547"/>
      <c r="BP47" s="473">
        <f t="shared" si="55"/>
        <v>14.7</v>
      </c>
      <c r="BQ47" s="547">
        <f t="shared" si="101"/>
        <v>2.4376916666666657E-4</v>
      </c>
      <c r="BR47" s="547">
        <f t="shared" si="102"/>
        <v>3.6144149999999993E-3</v>
      </c>
      <c r="BS47" s="547">
        <f t="shared" si="103"/>
        <v>3.4943769422028089E-4</v>
      </c>
      <c r="BT47" s="547">
        <f t="shared" si="104"/>
        <v>1.0003636363636364E-2</v>
      </c>
      <c r="BU47" s="473">
        <f t="shared" si="56"/>
        <v>14.211258224523311</v>
      </c>
      <c r="BV47" s="180">
        <f t="shared" si="57"/>
        <v>6.0345582227423894E-2</v>
      </c>
      <c r="BW47" s="5">
        <f t="shared" si="58"/>
        <v>0.2646</v>
      </c>
      <c r="BX47" s="180">
        <f t="shared" si="59"/>
        <v>0.81429019033350325</v>
      </c>
      <c r="BY47" s="5">
        <f t="shared" si="60"/>
        <v>81.429019033350329</v>
      </c>
      <c r="CB47" s="582">
        <f t="shared" si="105"/>
        <v>-50</v>
      </c>
      <c r="CC47">
        <f t="shared" si="106"/>
        <v>-50</v>
      </c>
    </row>
    <row r="48" spans="5:81" x14ac:dyDescent="0.25">
      <c r="E48" s="177">
        <v>43</v>
      </c>
      <c r="F48" s="224">
        <f t="shared" si="107"/>
        <v>4.3000000000000003E-2</v>
      </c>
      <c r="G48" s="224"/>
      <c r="H48" s="224">
        <f t="shared" si="62"/>
        <v>0.27090000000000003</v>
      </c>
      <c r="I48" s="560">
        <f t="shared" si="63"/>
        <v>24</v>
      </c>
      <c r="J48" s="179">
        <f t="shared" si="64"/>
        <v>13.1</v>
      </c>
      <c r="K48" s="455">
        <f t="shared" si="65"/>
        <v>37.1</v>
      </c>
      <c r="L48" s="455"/>
      <c r="M48" s="224">
        <f t="shared" si="66"/>
        <v>0.35309973045822102</v>
      </c>
      <c r="N48" s="179">
        <f t="shared" si="5"/>
        <v>5.5295417789757408</v>
      </c>
      <c r="O48" s="179">
        <f t="shared" si="46"/>
        <v>0.27090000000000003</v>
      </c>
      <c r="P48" s="224">
        <f t="shared" si="67"/>
        <v>0.87770504428186369</v>
      </c>
      <c r="Q48" s="224">
        <f t="shared" si="68"/>
        <v>6.3</v>
      </c>
      <c r="R48" s="224">
        <f t="shared" si="69"/>
        <v>0.97522782697984844</v>
      </c>
      <c r="S48" s="179">
        <f t="shared" si="70"/>
        <v>352.194558488697</v>
      </c>
      <c r="T48" s="179">
        <f t="shared" si="71"/>
        <v>6.3</v>
      </c>
      <c r="U48" s="224">
        <f t="shared" si="72"/>
        <v>7.1037531806615775E-2</v>
      </c>
      <c r="V48" s="224">
        <f t="shared" si="73"/>
        <v>0.16279434372349452</v>
      </c>
      <c r="W48" s="224">
        <f t="shared" si="74"/>
        <v>0.29824917934075329</v>
      </c>
      <c r="X48" s="204">
        <f t="shared" si="75"/>
        <v>350</v>
      </c>
      <c r="Y48" s="455">
        <f t="shared" si="47"/>
        <v>350</v>
      </c>
      <c r="AA48" s="224">
        <f t="shared" si="76"/>
        <v>0.44022823537648331</v>
      </c>
      <c r="AB48" s="180">
        <f t="shared" si="77"/>
        <v>1.8482864844050828</v>
      </c>
      <c r="AC48" s="180">
        <f t="shared" si="78"/>
        <v>0.28478376412494877</v>
      </c>
      <c r="AD48" s="180"/>
      <c r="AE48" s="180">
        <f t="shared" si="79"/>
        <v>1.217557251908397</v>
      </c>
      <c r="AF48" s="564">
        <f t="shared" si="108"/>
        <v>121.78142903469895</v>
      </c>
      <c r="AG48" s="547">
        <f t="shared" si="80"/>
        <v>0.1235820610687023</v>
      </c>
      <c r="AI48" s="180">
        <f t="shared" si="81"/>
        <v>0.18031558034099135</v>
      </c>
      <c r="AJ48" s="180">
        <f t="shared" si="82"/>
        <v>0.28999999999999998</v>
      </c>
      <c r="AK48" s="180">
        <f t="shared" si="83"/>
        <v>1.0695893880198279</v>
      </c>
      <c r="AM48" s="564">
        <f t="shared" si="84"/>
        <v>43</v>
      </c>
      <c r="AN48" s="473">
        <f t="shared" si="85"/>
        <v>121.78142903469895</v>
      </c>
      <c r="AP48">
        <f t="shared" si="86"/>
        <v>43</v>
      </c>
      <c r="AQ48" s="473">
        <f t="shared" si="87"/>
        <v>121.78142903469895</v>
      </c>
      <c r="AR48" s="473"/>
      <c r="AS48" s="5">
        <f t="shared" si="48"/>
        <v>8.2114326291496536</v>
      </c>
      <c r="AT48" s="5">
        <f t="shared" si="88"/>
        <v>0.6645833333333333</v>
      </c>
      <c r="AU48" s="5">
        <f t="shared" si="49"/>
        <v>7.5468492958163207</v>
      </c>
      <c r="AV48" s="5">
        <f t="shared" si="89"/>
        <v>1.217557251908397</v>
      </c>
      <c r="AW48" s="180">
        <f t="shared" si="50"/>
        <v>8.0933908045977013E-2</v>
      </c>
      <c r="AX48" s="180">
        <f t="shared" si="90"/>
        <v>0.28165000000000001</v>
      </c>
      <c r="AY48" s="180">
        <f t="shared" si="91"/>
        <v>0.26652916666666665</v>
      </c>
      <c r="AZ48" s="180">
        <f t="shared" si="51"/>
        <v>1.0567323776322166</v>
      </c>
      <c r="BA48" s="473">
        <f t="shared" si="92"/>
        <v>0.45360449735449737</v>
      </c>
      <c r="BB48" s="5">
        <f t="shared" si="93"/>
        <v>7.8875056876413621E-2</v>
      </c>
      <c r="BC48" s="5"/>
      <c r="BD48" s="180">
        <f t="shared" si="52"/>
        <v>4.7632417765868469E-2</v>
      </c>
      <c r="BE48" s="180">
        <f t="shared" si="94"/>
        <v>0.32102639213068518</v>
      </c>
      <c r="BF48" s="180"/>
      <c r="BG48" s="547">
        <f t="shared" si="95"/>
        <v>7.9409652777777764E-4</v>
      </c>
      <c r="BH48" s="547">
        <f t="shared" si="96"/>
        <v>1.310246394984326E-2</v>
      </c>
      <c r="BI48" s="547">
        <f t="shared" si="97"/>
        <v>1.5222678629337369E-3</v>
      </c>
      <c r="BJ48" s="547">
        <f t="shared" si="98"/>
        <v>9.638217662414874E-3</v>
      </c>
      <c r="BK48">
        <f t="shared" si="99"/>
        <v>6.96E-3</v>
      </c>
      <c r="BL48" s="473">
        <f t="shared" si="53"/>
        <v>32.017046002969643</v>
      </c>
      <c r="BM48" s="547">
        <f t="shared" si="100"/>
        <v>1.5050000000000001E-2</v>
      </c>
      <c r="BN48" s="547"/>
      <c r="BP48" s="473">
        <f t="shared" si="55"/>
        <v>15.05</v>
      </c>
      <c r="BQ48" s="547">
        <f t="shared" si="101"/>
        <v>2.4957319444444444E-4</v>
      </c>
      <c r="BR48" s="547">
        <f t="shared" si="102"/>
        <v>3.6070280555555562E-3</v>
      </c>
      <c r="BS48" s="547">
        <f t="shared" si="103"/>
        <v>3.7061045264960134E-4</v>
      </c>
      <c r="BT48" s="547">
        <f t="shared" si="104"/>
        <v>1.0241818181818182E-2</v>
      </c>
      <c r="BU48" s="473">
        <f t="shared" si="56"/>
        <v>14.469029884467783</v>
      </c>
      <c r="BV48" s="180">
        <f t="shared" si="57"/>
        <v>6.1536075887437425E-2</v>
      </c>
      <c r="BW48" s="5">
        <f t="shared" si="58"/>
        <v>0.27090000000000003</v>
      </c>
      <c r="BX48" s="180">
        <f t="shared" si="59"/>
        <v>0.81489350780246406</v>
      </c>
      <c r="BY48" s="5">
        <f t="shared" si="60"/>
        <v>81.489350780246411</v>
      </c>
      <c r="CB48" s="582">
        <f t="shared" si="105"/>
        <v>-50</v>
      </c>
      <c r="CC48">
        <f t="shared" si="106"/>
        <v>-50</v>
      </c>
    </row>
    <row r="49" spans="5:81" x14ac:dyDescent="0.25">
      <c r="E49" s="177">
        <v>44</v>
      </c>
      <c r="F49" s="224">
        <f t="shared" si="107"/>
        <v>4.4000000000000004E-2</v>
      </c>
      <c r="G49" s="224"/>
      <c r="H49" s="224">
        <f t="shared" si="62"/>
        <v>0.2772</v>
      </c>
      <c r="I49" s="560">
        <f t="shared" si="63"/>
        <v>24</v>
      </c>
      <c r="J49" s="179">
        <f t="shared" si="64"/>
        <v>13.1</v>
      </c>
      <c r="K49" s="455">
        <f t="shared" si="65"/>
        <v>37.1</v>
      </c>
      <c r="L49" s="455"/>
      <c r="M49" s="224">
        <f t="shared" si="66"/>
        <v>0.35309973045822102</v>
      </c>
      <c r="N49" s="179">
        <f t="shared" si="5"/>
        <v>5.5295417789757408</v>
      </c>
      <c r="O49" s="179">
        <f t="shared" si="46"/>
        <v>0.2772</v>
      </c>
      <c r="P49" s="224">
        <f t="shared" si="67"/>
        <v>0.87770504428186369</v>
      </c>
      <c r="Q49" s="224">
        <f t="shared" si="68"/>
        <v>6.3</v>
      </c>
      <c r="R49" s="224">
        <f t="shared" si="69"/>
        <v>0.97522782697984844</v>
      </c>
      <c r="S49" s="179">
        <f t="shared" si="70"/>
        <v>343.91780758721666</v>
      </c>
      <c r="T49" s="179">
        <f t="shared" si="71"/>
        <v>6.3</v>
      </c>
      <c r="U49" s="224">
        <f t="shared" si="72"/>
        <v>7.2689567430025442E-2</v>
      </c>
      <c r="V49" s="224">
        <f t="shared" si="73"/>
        <v>0.1665802586938083</v>
      </c>
      <c r="W49" s="224">
        <f t="shared" si="74"/>
        <v>0.30518520676728239</v>
      </c>
      <c r="X49" s="204">
        <f t="shared" si="75"/>
        <v>350</v>
      </c>
      <c r="Y49" s="455">
        <f t="shared" si="47"/>
        <v>350</v>
      </c>
      <c r="AA49" s="224">
        <f t="shared" si="76"/>
        <v>0.44022823537648331</v>
      </c>
      <c r="AB49" s="180">
        <f t="shared" si="77"/>
        <v>1.8482864844050828</v>
      </c>
      <c r="AC49" s="180">
        <f t="shared" si="78"/>
        <v>0.28478376412494877</v>
      </c>
      <c r="AD49" s="180"/>
      <c r="AE49" s="180">
        <f t="shared" si="79"/>
        <v>1.217557251908397</v>
      </c>
      <c r="AF49" s="564">
        <f t="shared" si="108"/>
        <v>124.61355529131984</v>
      </c>
      <c r="AG49" s="547">
        <f t="shared" si="80"/>
        <v>0.1235820610687023</v>
      </c>
      <c r="AI49" s="180">
        <f t="shared" si="81"/>
        <v>0.18240022277903409</v>
      </c>
      <c r="AJ49" s="180">
        <f t="shared" si="82"/>
        <v>0.28999999999999998</v>
      </c>
      <c r="AK49" s="180">
        <f t="shared" si="83"/>
        <v>1.0712077458807543</v>
      </c>
      <c r="AM49" s="564">
        <f t="shared" si="84"/>
        <v>44.000000000000007</v>
      </c>
      <c r="AN49" s="473">
        <f t="shared" si="85"/>
        <v>124.61355529131984</v>
      </c>
      <c r="AP49">
        <f t="shared" si="86"/>
        <v>44.000000000000007</v>
      </c>
      <c r="AQ49" s="473">
        <f t="shared" si="87"/>
        <v>124.61355529131984</v>
      </c>
      <c r="AR49" s="473"/>
      <c r="AS49" s="5">
        <f t="shared" si="48"/>
        <v>8.0248091603053453</v>
      </c>
      <c r="AT49" s="5">
        <f t="shared" si="88"/>
        <v>0.6645833333333333</v>
      </c>
      <c r="AU49" s="5">
        <f t="shared" si="49"/>
        <v>7.3602258269720124</v>
      </c>
      <c r="AV49" s="5">
        <f t="shared" si="89"/>
        <v>1.217557251908397</v>
      </c>
      <c r="AW49" s="180">
        <f t="shared" si="50"/>
        <v>8.2816091954022966E-2</v>
      </c>
      <c r="AX49" s="180">
        <f t="shared" si="90"/>
        <v>0.28819999999999996</v>
      </c>
      <c r="AY49" s="180">
        <f t="shared" si="91"/>
        <v>0.26598333333333335</v>
      </c>
      <c r="AZ49" s="180">
        <f t="shared" si="51"/>
        <v>1.0835265367504228</v>
      </c>
      <c r="BA49" s="473">
        <f t="shared" si="92"/>
        <v>0.46415343915343915</v>
      </c>
      <c r="BB49" s="5">
        <f t="shared" si="93"/>
        <v>7.8713526205117346E-2</v>
      </c>
      <c r="BC49" s="5"/>
      <c r="BD49" s="180">
        <f t="shared" si="52"/>
        <v>4.8183099849543824E-2</v>
      </c>
      <c r="BE49" s="180">
        <f t="shared" si="94"/>
        <v>0.32069750371477618</v>
      </c>
      <c r="BF49" s="180"/>
      <c r="BG49" s="547">
        <f t="shared" si="95"/>
        <v>8.1256388888888858E-4</v>
      </c>
      <c r="BH49" s="547">
        <f t="shared" si="96"/>
        <v>1.3407172413793104E-2</v>
      </c>
      <c r="BI49" s="547">
        <f t="shared" si="97"/>
        <v>1.5576694411414979E-3</v>
      </c>
      <c r="BJ49" s="547">
        <f t="shared" si="98"/>
        <v>9.86236225921522E-3</v>
      </c>
      <c r="BK49">
        <f t="shared" si="99"/>
        <v>6.96E-3</v>
      </c>
      <c r="BL49" s="473">
        <f t="shared" si="53"/>
        <v>32.599768003038712</v>
      </c>
      <c r="BM49" s="547">
        <f t="shared" si="100"/>
        <v>1.54E-2</v>
      </c>
      <c r="BN49" s="547"/>
      <c r="BP49" s="473">
        <f t="shared" si="55"/>
        <v>15.4</v>
      </c>
      <c r="BQ49" s="547">
        <f t="shared" si="101"/>
        <v>2.5537722222222211E-4</v>
      </c>
      <c r="BR49" s="547">
        <f t="shared" si="102"/>
        <v>3.599641111111111E-3</v>
      </c>
      <c r="BS49" s="547">
        <f t="shared" si="103"/>
        <v>3.9253484630722633E-4</v>
      </c>
      <c r="BT49" s="547">
        <f t="shared" si="104"/>
        <v>1.048E-2</v>
      </c>
      <c r="BU49" s="473">
        <f t="shared" si="56"/>
        <v>14.727553179640561</v>
      </c>
      <c r="BV49" s="180">
        <f t="shared" si="57"/>
        <v>6.2727321182679263E-2</v>
      </c>
      <c r="BW49" s="5">
        <f t="shared" si="58"/>
        <v>0.2772</v>
      </c>
      <c r="BX49" s="180">
        <f t="shared" si="59"/>
        <v>0.81546843318025275</v>
      </c>
      <c r="BY49" s="5">
        <f t="shared" si="60"/>
        <v>81.546843318025282</v>
      </c>
      <c r="CB49" s="582">
        <f t="shared" si="105"/>
        <v>-50</v>
      </c>
      <c r="CC49">
        <f t="shared" si="106"/>
        <v>-50</v>
      </c>
    </row>
    <row r="50" spans="5:81" x14ac:dyDescent="0.25">
      <c r="E50" s="177">
        <v>45</v>
      </c>
      <c r="F50" s="224">
        <f t="shared" si="107"/>
        <v>4.5000000000000005E-2</v>
      </c>
      <c r="G50" s="224"/>
      <c r="H50" s="224">
        <f t="shared" si="62"/>
        <v>0.28350000000000003</v>
      </c>
      <c r="I50" s="560">
        <f t="shared" si="63"/>
        <v>24</v>
      </c>
      <c r="J50" s="179">
        <f t="shared" si="64"/>
        <v>13.1</v>
      </c>
      <c r="K50" s="455">
        <f t="shared" si="65"/>
        <v>37.1</v>
      </c>
      <c r="L50" s="455"/>
      <c r="M50" s="224">
        <f t="shared" si="66"/>
        <v>0.35309973045822102</v>
      </c>
      <c r="N50" s="179">
        <f t="shared" si="5"/>
        <v>5.5295417789757408</v>
      </c>
      <c r="O50" s="179">
        <f t="shared" si="46"/>
        <v>0.28350000000000003</v>
      </c>
      <c r="P50" s="224">
        <f t="shared" si="67"/>
        <v>0.87770504428186369</v>
      </c>
      <c r="Q50" s="224">
        <f t="shared" si="68"/>
        <v>6.3</v>
      </c>
      <c r="R50" s="224">
        <f t="shared" si="69"/>
        <v>0.97522782697984844</v>
      </c>
      <c r="S50" s="179">
        <f t="shared" si="70"/>
        <v>336.00892169636677</v>
      </c>
      <c r="T50" s="179">
        <f t="shared" si="71"/>
        <v>6.3</v>
      </c>
      <c r="U50" s="224">
        <f t="shared" si="72"/>
        <v>7.4341603053435124E-2</v>
      </c>
      <c r="V50" s="224">
        <f t="shared" si="73"/>
        <v>0.17036617366412218</v>
      </c>
      <c r="W50" s="224">
        <f t="shared" si="74"/>
        <v>0.3121212341938116</v>
      </c>
      <c r="X50" s="204">
        <f t="shared" si="75"/>
        <v>350</v>
      </c>
      <c r="Y50" s="455">
        <f t="shared" si="47"/>
        <v>350</v>
      </c>
      <c r="AA50" s="224">
        <f t="shared" si="76"/>
        <v>0.44022823537648331</v>
      </c>
      <c r="AB50" s="180">
        <f t="shared" si="77"/>
        <v>1.8482864844050828</v>
      </c>
      <c r="AC50" s="180">
        <f t="shared" si="78"/>
        <v>0.28478376412494877</v>
      </c>
      <c r="AD50" s="180"/>
      <c r="AE50" s="180">
        <f t="shared" si="79"/>
        <v>1.217557251908397</v>
      </c>
      <c r="AF50" s="564">
        <f t="shared" si="108"/>
        <v>127.44568154794077</v>
      </c>
      <c r="AG50" s="547">
        <f t="shared" si="80"/>
        <v>0.1235820610687023</v>
      </c>
      <c r="AI50" s="180">
        <f t="shared" si="81"/>
        <v>0.18446130766633426</v>
      </c>
      <c r="AJ50" s="180">
        <f t="shared" si="82"/>
        <v>0.28999999999999998</v>
      </c>
      <c r="AK50" s="180">
        <f t="shared" si="83"/>
        <v>1.0728261037416804</v>
      </c>
      <c r="AM50" s="564">
        <f t="shared" si="84"/>
        <v>45.000000000000007</v>
      </c>
      <c r="AN50" s="473">
        <f t="shared" si="85"/>
        <v>127.44568154794077</v>
      </c>
      <c r="AP50">
        <f t="shared" si="86"/>
        <v>45.000000000000007</v>
      </c>
      <c r="AQ50" s="473">
        <f t="shared" si="87"/>
        <v>127.44568154794077</v>
      </c>
      <c r="AR50" s="473"/>
      <c r="AS50" s="5">
        <f t="shared" si="48"/>
        <v>7.846480067854114</v>
      </c>
      <c r="AT50" s="5">
        <f t="shared" si="88"/>
        <v>0.6645833333333333</v>
      </c>
      <c r="AU50" s="5">
        <f t="shared" si="49"/>
        <v>7.1818967345207803</v>
      </c>
      <c r="AV50" s="5">
        <f t="shared" si="89"/>
        <v>1.217557251908397</v>
      </c>
      <c r="AW50" s="180">
        <f t="shared" si="50"/>
        <v>8.4698275862068961E-2</v>
      </c>
      <c r="AX50" s="180">
        <f t="shared" si="90"/>
        <v>0.29474999999999996</v>
      </c>
      <c r="AY50" s="180">
        <f t="shared" si="91"/>
        <v>0.26543749999999999</v>
      </c>
      <c r="AZ50" s="180">
        <f t="shared" si="51"/>
        <v>1.1104308923946313</v>
      </c>
      <c r="BA50" s="473">
        <f t="shared" si="92"/>
        <v>0.47470238095238099</v>
      </c>
      <c r="BB50" s="5">
        <f t="shared" si="93"/>
        <v>7.8551995533821015E-2</v>
      </c>
      <c r="BC50" s="5"/>
      <c r="BD50" s="180">
        <f t="shared" si="52"/>
        <v>4.8727558937422664E-2</v>
      </c>
      <c r="BE50" s="180">
        <f t="shared" si="94"/>
        <v>0.32036827766389936</v>
      </c>
      <c r="BF50" s="180"/>
      <c r="BG50" s="547">
        <f t="shared" si="95"/>
        <v>8.3103124999999974E-4</v>
      </c>
      <c r="BH50" s="547">
        <f t="shared" si="96"/>
        <v>1.3711880877742947E-2</v>
      </c>
      <c r="BI50" s="547">
        <f t="shared" si="97"/>
        <v>1.5930710193492595E-3</v>
      </c>
      <c r="BJ50" s="547">
        <f t="shared" si="98"/>
        <v>1.0086506856015566E-2</v>
      </c>
      <c r="BK50">
        <f t="shared" si="99"/>
        <v>6.96E-3</v>
      </c>
      <c r="BL50" s="473">
        <f t="shared" si="53"/>
        <v>33.182490003107773</v>
      </c>
      <c r="BM50" s="547">
        <f t="shared" si="100"/>
        <v>1.575E-2</v>
      </c>
      <c r="BN50" s="547"/>
      <c r="BP50" s="473">
        <f t="shared" si="55"/>
        <v>15.75</v>
      </c>
      <c r="BQ50" s="547">
        <f t="shared" si="101"/>
        <v>2.611812499999999E-4</v>
      </c>
      <c r="BR50" s="547">
        <f t="shared" si="102"/>
        <v>3.5922541666666662E-3</v>
      </c>
      <c r="BS50" s="547">
        <f t="shared" si="103"/>
        <v>4.1521956529147637E-4</v>
      </c>
      <c r="BT50" s="547">
        <f t="shared" si="104"/>
        <v>1.0718181818181819E-2</v>
      </c>
      <c r="BU50" s="473">
        <f t="shared" si="56"/>
        <v>14.986836800139962</v>
      </c>
      <c r="BV50" s="180">
        <f t="shared" si="57"/>
        <v>6.3919326803247731E-2</v>
      </c>
      <c r="BW50" s="5">
        <f t="shared" si="58"/>
        <v>0.28350000000000003</v>
      </c>
      <c r="BX50" s="180">
        <f t="shared" si="59"/>
        <v>0.81601677894146962</v>
      </c>
      <c r="BY50" s="5">
        <f t="shared" si="60"/>
        <v>81.60167789414696</v>
      </c>
      <c r="CB50" s="582">
        <f t="shared" si="105"/>
        <v>-50</v>
      </c>
      <c r="CC50">
        <f t="shared" si="106"/>
        <v>-50</v>
      </c>
    </row>
    <row r="51" spans="5:81" x14ac:dyDescent="0.25">
      <c r="E51" s="177">
        <v>46</v>
      </c>
      <c r="F51" s="224">
        <f t="shared" si="107"/>
        <v>4.6000000000000006E-2</v>
      </c>
      <c r="G51" s="224"/>
      <c r="H51" s="224">
        <f t="shared" si="62"/>
        <v>0.28980000000000006</v>
      </c>
      <c r="I51" s="560">
        <f t="shared" si="63"/>
        <v>24</v>
      </c>
      <c r="J51" s="179">
        <f t="shared" si="64"/>
        <v>13.1</v>
      </c>
      <c r="K51" s="455">
        <f t="shared" si="65"/>
        <v>37.1</v>
      </c>
      <c r="L51" s="455"/>
      <c r="M51" s="224">
        <f t="shared" si="66"/>
        <v>0.35309973045822102</v>
      </c>
      <c r="N51" s="179">
        <f t="shared" si="5"/>
        <v>5.5295417789757408</v>
      </c>
      <c r="O51" s="179">
        <f t="shared" si="46"/>
        <v>0.28980000000000006</v>
      </c>
      <c r="P51" s="224">
        <f t="shared" si="67"/>
        <v>0.87770504428186369</v>
      </c>
      <c r="Q51" s="224">
        <f t="shared" si="68"/>
        <v>6.3</v>
      </c>
      <c r="R51" s="224">
        <f t="shared" si="69"/>
        <v>0.97522782697984844</v>
      </c>
      <c r="S51" s="179">
        <f t="shared" si="70"/>
        <v>328.44390964120828</v>
      </c>
      <c r="T51" s="179">
        <f t="shared" si="71"/>
        <v>6.3</v>
      </c>
      <c r="U51" s="224">
        <f t="shared" si="72"/>
        <v>7.5993638676844791E-2</v>
      </c>
      <c r="V51" s="224">
        <f t="shared" si="73"/>
        <v>0.17415208863443599</v>
      </c>
      <c r="W51" s="224">
        <f t="shared" si="74"/>
        <v>0.31905726162034076</v>
      </c>
      <c r="X51" s="204">
        <f t="shared" si="75"/>
        <v>350</v>
      </c>
      <c r="Y51" s="455">
        <f t="shared" si="47"/>
        <v>350</v>
      </c>
      <c r="AA51" s="224">
        <f t="shared" si="76"/>
        <v>0.44022823537648331</v>
      </c>
      <c r="AB51" s="180">
        <f t="shared" si="77"/>
        <v>1.8482864844050828</v>
      </c>
      <c r="AC51" s="180">
        <f t="shared" si="78"/>
        <v>0.28478376412494877</v>
      </c>
      <c r="AD51" s="180"/>
      <c r="AE51" s="180">
        <f t="shared" si="79"/>
        <v>1.217557251908397</v>
      </c>
      <c r="AF51" s="564">
        <f t="shared" si="108"/>
        <v>130.27780780456166</v>
      </c>
      <c r="AG51" s="547">
        <f t="shared" si="80"/>
        <v>0.1235820610687023</v>
      </c>
      <c r="AI51" s="180">
        <f t="shared" si="81"/>
        <v>0.18649961603742454</v>
      </c>
      <c r="AJ51" s="180">
        <f t="shared" si="82"/>
        <v>0.28999999999999998</v>
      </c>
      <c r="AK51" s="180">
        <f t="shared" si="83"/>
        <v>1.0744444616026068</v>
      </c>
      <c r="AM51" s="564">
        <f t="shared" si="84"/>
        <v>46.000000000000007</v>
      </c>
      <c r="AN51" s="473">
        <f t="shared" si="85"/>
        <v>130.27780780456166</v>
      </c>
      <c r="AP51">
        <f t="shared" si="86"/>
        <v>46.000000000000007</v>
      </c>
      <c r="AQ51" s="473">
        <f t="shared" si="87"/>
        <v>130.27780780456166</v>
      </c>
      <c r="AR51" s="473"/>
      <c r="AS51" s="5">
        <f t="shared" si="48"/>
        <v>7.675904414205112</v>
      </c>
      <c r="AT51" s="5">
        <f t="shared" si="88"/>
        <v>0.6645833333333333</v>
      </c>
      <c r="AU51" s="5">
        <f t="shared" si="49"/>
        <v>7.0113210808717792</v>
      </c>
      <c r="AV51" s="5">
        <f t="shared" si="89"/>
        <v>1.217557251908397</v>
      </c>
      <c r="AW51" s="180">
        <f t="shared" si="50"/>
        <v>8.6580459770114929E-2</v>
      </c>
      <c r="AX51" s="180">
        <f t="shared" si="90"/>
        <v>0.30130000000000001</v>
      </c>
      <c r="AY51" s="180">
        <f t="shared" si="91"/>
        <v>0.26489166666666664</v>
      </c>
      <c r="AZ51" s="180">
        <f t="shared" si="51"/>
        <v>1.137446125774688</v>
      </c>
      <c r="BA51" s="473">
        <f t="shared" si="92"/>
        <v>0.48525132275132277</v>
      </c>
      <c r="BB51" s="5">
        <f t="shared" si="93"/>
        <v>7.8390464862524753E-2</v>
      </c>
      <c r="BC51" s="5"/>
      <c r="BD51" s="180">
        <f t="shared" si="52"/>
        <v>4.9266001348687596E-2</v>
      </c>
      <c r="BE51" s="180">
        <f t="shared" si="94"/>
        <v>0.32003871293607239</v>
      </c>
      <c r="BF51" s="180"/>
      <c r="BG51" s="547">
        <f t="shared" si="95"/>
        <v>8.4949861111111079E-4</v>
      </c>
      <c r="BH51" s="547">
        <f t="shared" si="96"/>
        <v>1.4016589341692792E-2</v>
      </c>
      <c r="BI51" s="547">
        <f t="shared" si="97"/>
        <v>1.6284725975570207E-3</v>
      </c>
      <c r="BJ51" s="547">
        <f t="shared" si="98"/>
        <v>1.031065145281591E-2</v>
      </c>
      <c r="BK51">
        <f t="shared" si="99"/>
        <v>6.96E-3</v>
      </c>
      <c r="BL51" s="473">
        <f t="shared" si="53"/>
        <v>33.765212003176828</v>
      </c>
      <c r="BM51" s="547">
        <f t="shared" si="100"/>
        <v>1.61E-2</v>
      </c>
      <c r="BN51" s="547"/>
      <c r="BP51" s="473">
        <f t="shared" si="55"/>
        <v>16.100000000000001</v>
      </c>
      <c r="BQ51" s="547">
        <f t="shared" si="101"/>
        <v>2.6698527777777769E-4</v>
      </c>
      <c r="BR51" s="547">
        <f t="shared" si="102"/>
        <v>3.5848672222222218E-3</v>
      </c>
      <c r="BS51" s="547">
        <f t="shared" si="103"/>
        <v>4.3867320148539656E-4</v>
      </c>
      <c r="BT51" s="547">
        <f t="shared" si="104"/>
        <v>1.0956363636363637E-2</v>
      </c>
      <c r="BU51" s="473">
        <f t="shared" si="56"/>
        <v>15.246889337849034</v>
      </c>
      <c r="BV51" s="180">
        <f t="shared" si="57"/>
        <v>6.5112101341025866E-2</v>
      </c>
      <c r="BW51" s="5">
        <f t="shared" si="58"/>
        <v>0.28980000000000006</v>
      </c>
      <c r="BX51" s="180">
        <f t="shared" si="59"/>
        <v>0.81654020503949709</v>
      </c>
      <c r="BY51" s="5">
        <f t="shared" si="60"/>
        <v>81.65402050394971</v>
      </c>
      <c r="CB51" s="582">
        <f t="shared" si="105"/>
        <v>-50</v>
      </c>
      <c r="CC51">
        <f t="shared" si="106"/>
        <v>-50</v>
      </c>
    </row>
    <row r="52" spans="5:81" x14ac:dyDescent="0.25">
      <c r="E52" s="177">
        <v>47</v>
      </c>
      <c r="F52" s="224">
        <f t="shared" si="107"/>
        <v>4.7E-2</v>
      </c>
      <c r="G52" s="224"/>
      <c r="H52" s="224">
        <f t="shared" si="62"/>
        <v>0.29609999999999997</v>
      </c>
      <c r="I52" s="560">
        <f t="shared" si="63"/>
        <v>24</v>
      </c>
      <c r="J52" s="179">
        <f t="shared" si="64"/>
        <v>13.1</v>
      </c>
      <c r="K52" s="455">
        <f t="shared" si="65"/>
        <v>37.1</v>
      </c>
      <c r="L52" s="455"/>
      <c r="M52" s="224">
        <f t="shared" si="66"/>
        <v>0.35309973045822102</v>
      </c>
      <c r="N52" s="179">
        <f t="shared" si="5"/>
        <v>5.5295417789757408</v>
      </c>
      <c r="O52" s="179">
        <f t="shared" si="46"/>
        <v>0.29609999999999997</v>
      </c>
      <c r="P52" s="224">
        <f t="shared" si="67"/>
        <v>0.87770504428186369</v>
      </c>
      <c r="Q52" s="224">
        <f t="shared" si="68"/>
        <v>6.3</v>
      </c>
      <c r="R52" s="224">
        <f t="shared" si="69"/>
        <v>0.97522782697984844</v>
      </c>
      <c r="S52" s="179">
        <f t="shared" si="70"/>
        <v>321.20082204898813</v>
      </c>
      <c r="T52" s="179">
        <f t="shared" si="71"/>
        <v>6.3</v>
      </c>
      <c r="U52" s="224">
        <f t="shared" si="72"/>
        <v>7.7645674300254444E-2</v>
      </c>
      <c r="V52" s="224">
        <f t="shared" si="73"/>
        <v>0.17793800360474979</v>
      </c>
      <c r="W52" s="224">
        <f t="shared" si="74"/>
        <v>0.32599328904686986</v>
      </c>
      <c r="X52" s="204">
        <f t="shared" si="75"/>
        <v>350</v>
      </c>
      <c r="Y52" s="455">
        <f t="shared" si="47"/>
        <v>350</v>
      </c>
      <c r="AA52" s="224">
        <f t="shared" si="76"/>
        <v>0.44022823537648331</v>
      </c>
      <c r="AB52" s="180">
        <f t="shared" si="77"/>
        <v>1.8482864844050828</v>
      </c>
      <c r="AC52" s="180">
        <f t="shared" si="78"/>
        <v>0.28478376412494877</v>
      </c>
      <c r="AD52" s="180"/>
      <c r="AE52" s="180">
        <f t="shared" si="79"/>
        <v>1.217557251908397</v>
      </c>
      <c r="AF52" s="564">
        <f t="shared" si="108"/>
        <v>133.10993406118254</v>
      </c>
      <c r="AG52" s="547">
        <f t="shared" si="80"/>
        <v>0.1235820610687023</v>
      </c>
      <c r="AI52" s="180">
        <f t="shared" si="81"/>
        <v>0.18851588669987346</v>
      </c>
      <c r="AJ52" s="180">
        <f t="shared" si="82"/>
        <v>0.28999999999999998</v>
      </c>
      <c r="AK52" s="180">
        <f t="shared" si="83"/>
        <v>1.0760628194635329</v>
      </c>
      <c r="AM52" s="564">
        <f t="shared" si="84"/>
        <v>47</v>
      </c>
      <c r="AN52" s="473">
        <f t="shared" si="85"/>
        <v>133.10993406118254</v>
      </c>
      <c r="AP52">
        <f t="shared" si="86"/>
        <v>47</v>
      </c>
      <c r="AQ52" s="473">
        <f t="shared" si="87"/>
        <v>133.10993406118254</v>
      </c>
      <c r="AR52" s="473"/>
      <c r="AS52" s="5">
        <f t="shared" si="48"/>
        <v>7.512587299009259</v>
      </c>
      <c r="AT52" s="5">
        <f t="shared" si="88"/>
        <v>0.6645833333333333</v>
      </c>
      <c r="AU52" s="5">
        <f t="shared" si="49"/>
        <v>6.8480039656759253</v>
      </c>
      <c r="AV52" s="5">
        <f t="shared" si="89"/>
        <v>1.217557251908397</v>
      </c>
      <c r="AW52" s="180">
        <f t="shared" si="50"/>
        <v>8.8462643678160896E-2</v>
      </c>
      <c r="AX52" s="180">
        <f t="shared" si="90"/>
        <v>0.3078499999999999</v>
      </c>
      <c r="AY52" s="180">
        <f t="shared" si="91"/>
        <v>0.26434583333333334</v>
      </c>
      <c r="AZ52" s="180">
        <f t="shared" si="51"/>
        <v>1.1645729237268094</v>
      </c>
      <c r="BA52" s="473">
        <f t="shared" si="92"/>
        <v>0.49580026455026455</v>
      </c>
      <c r="BB52" s="5">
        <f t="shared" si="93"/>
        <v>7.8228934191228422E-2</v>
      </c>
      <c r="BC52" s="5"/>
      <c r="BD52" s="180">
        <f t="shared" si="52"/>
        <v>4.9798622247786903E-2</v>
      </c>
      <c r="BE52" s="180">
        <f t="shared" si="94"/>
        <v>0.31970880848394245</v>
      </c>
      <c r="BF52" s="180"/>
      <c r="BG52" s="547">
        <f t="shared" si="95"/>
        <v>8.6796597222222173E-4</v>
      </c>
      <c r="BH52" s="547">
        <f t="shared" si="96"/>
        <v>1.4321297805642631E-2</v>
      </c>
      <c r="BI52" s="547">
        <f t="shared" si="97"/>
        <v>1.6638741757647817E-3</v>
      </c>
      <c r="BJ52" s="547">
        <f t="shared" si="98"/>
        <v>1.0534796049616256E-2</v>
      </c>
      <c r="BK52">
        <f t="shared" si="99"/>
        <v>6.96E-3</v>
      </c>
      <c r="BL52" s="473">
        <f t="shared" si="53"/>
        <v>34.347934003245896</v>
      </c>
      <c r="BM52" s="547">
        <f t="shared" si="100"/>
        <v>1.6449999999999999E-2</v>
      </c>
      <c r="BN52" s="547"/>
      <c r="BP52" s="473">
        <f t="shared" si="55"/>
        <v>16.45</v>
      </c>
      <c r="BQ52" s="547">
        <f t="shared" si="101"/>
        <v>2.7278930555555542E-4</v>
      </c>
      <c r="BR52" s="547">
        <f t="shared" si="102"/>
        <v>3.577480277777777E-3</v>
      </c>
      <c r="BS52" s="547">
        <f t="shared" si="103"/>
        <v>4.6290425181368572E-4</v>
      </c>
      <c r="BT52" s="547">
        <f t="shared" si="104"/>
        <v>1.1194545454545454E-2</v>
      </c>
      <c r="BU52" s="473">
        <f t="shared" si="56"/>
        <v>15.507719289692471</v>
      </c>
      <c r="BV52" s="180">
        <f t="shared" si="57"/>
        <v>6.630565329293836E-2</v>
      </c>
      <c r="BW52" s="5">
        <f t="shared" si="58"/>
        <v>0.29609999999999997</v>
      </c>
      <c r="BX52" s="180">
        <f t="shared" si="59"/>
        <v>0.81704023463634423</v>
      </c>
      <c r="BY52" s="5">
        <f t="shared" si="60"/>
        <v>81.704023463634428</v>
      </c>
      <c r="CB52" s="582">
        <f t="shared" si="105"/>
        <v>-50</v>
      </c>
      <c r="CC52">
        <f t="shared" si="106"/>
        <v>-50</v>
      </c>
    </row>
    <row r="53" spans="5:81" x14ac:dyDescent="0.25">
      <c r="E53" s="177">
        <v>48</v>
      </c>
      <c r="F53" s="224">
        <f t="shared" si="107"/>
        <v>4.8000000000000001E-2</v>
      </c>
      <c r="G53" s="224"/>
      <c r="H53" s="224">
        <f t="shared" si="62"/>
        <v>0.3024</v>
      </c>
      <c r="I53" s="560">
        <f t="shared" si="63"/>
        <v>24</v>
      </c>
      <c r="J53" s="179">
        <f t="shared" si="64"/>
        <v>13.1</v>
      </c>
      <c r="K53" s="455">
        <f t="shared" si="65"/>
        <v>37.1</v>
      </c>
      <c r="L53" s="455"/>
      <c r="M53" s="224">
        <f t="shared" si="66"/>
        <v>0.35309973045822102</v>
      </c>
      <c r="N53" s="179">
        <f t="shared" si="5"/>
        <v>5.5295417789757408</v>
      </c>
      <c r="O53" s="179">
        <f t="shared" si="46"/>
        <v>0.3024</v>
      </c>
      <c r="P53" s="224">
        <f t="shared" si="67"/>
        <v>0.87770504428186369</v>
      </c>
      <c r="Q53" s="224">
        <f t="shared" si="68"/>
        <v>6.3</v>
      </c>
      <c r="R53" s="224">
        <f t="shared" si="69"/>
        <v>0.97522782697984844</v>
      </c>
      <c r="S53" s="179">
        <f t="shared" si="70"/>
        <v>314.25953866141157</v>
      </c>
      <c r="T53" s="179">
        <f t="shared" si="71"/>
        <v>6.3</v>
      </c>
      <c r="U53" s="224">
        <f t="shared" si="72"/>
        <v>7.9297709923664125E-2</v>
      </c>
      <c r="V53" s="224">
        <f t="shared" si="73"/>
        <v>0.18172391857506362</v>
      </c>
      <c r="W53" s="224">
        <f t="shared" si="74"/>
        <v>0.33292931647339902</v>
      </c>
      <c r="X53" s="204">
        <f t="shared" si="75"/>
        <v>350</v>
      </c>
      <c r="Y53" s="455">
        <f t="shared" si="47"/>
        <v>350</v>
      </c>
      <c r="AA53" s="224">
        <f t="shared" si="76"/>
        <v>0.44022823537648331</v>
      </c>
      <c r="AB53" s="180">
        <f t="shared" si="77"/>
        <v>1.8482864844050828</v>
      </c>
      <c r="AC53" s="180">
        <f t="shared" si="78"/>
        <v>0.28478376412494877</v>
      </c>
      <c r="AD53" s="180"/>
      <c r="AE53" s="180">
        <f t="shared" si="79"/>
        <v>1.217557251908397</v>
      </c>
      <c r="AF53" s="564">
        <f t="shared" si="108"/>
        <v>135.94206031780345</v>
      </c>
      <c r="AG53" s="547">
        <f t="shared" si="80"/>
        <v>0.1235820610687023</v>
      </c>
      <c r="AI53" s="180">
        <f t="shared" si="81"/>
        <v>0.19051081936302802</v>
      </c>
      <c r="AJ53" s="180">
        <f t="shared" si="82"/>
        <v>0.28999999999999998</v>
      </c>
      <c r="AK53" s="180">
        <f t="shared" si="83"/>
        <v>1.0776811773244592</v>
      </c>
      <c r="AM53" s="564">
        <f t="shared" si="84"/>
        <v>48</v>
      </c>
      <c r="AN53" s="473">
        <f t="shared" si="85"/>
        <v>135.94206031780345</v>
      </c>
      <c r="AP53">
        <f t="shared" si="86"/>
        <v>48</v>
      </c>
      <c r="AQ53" s="473">
        <f t="shared" si="87"/>
        <v>135.94206031780345</v>
      </c>
      <c r="AR53" s="473"/>
      <c r="AS53" s="5">
        <f t="shared" si="48"/>
        <v>7.3560750636132326</v>
      </c>
      <c r="AT53" s="5">
        <f t="shared" si="88"/>
        <v>0.6645833333333333</v>
      </c>
      <c r="AU53" s="5">
        <f t="shared" si="49"/>
        <v>6.6914917302798997</v>
      </c>
      <c r="AV53" s="5">
        <f t="shared" si="89"/>
        <v>1.217557251908397</v>
      </c>
      <c r="AW53" s="180">
        <f t="shared" si="50"/>
        <v>9.0344827586206877E-2</v>
      </c>
      <c r="AX53" s="180">
        <f t="shared" si="90"/>
        <v>0.31439999999999996</v>
      </c>
      <c r="AY53" s="180">
        <f t="shared" si="91"/>
        <v>0.26379999999999998</v>
      </c>
      <c r="AZ53" s="180">
        <f t="shared" si="51"/>
        <v>1.1918119787717967</v>
      </c>
      <c r="BA53" s="473">
        <f t="shared" si="92"/>
        <v>0.50634920634920633</v>
      </c>
      <c r="BB53" s="5">
        <f t="shared" si="93"/>
        <v>7.806740351993216E-2</v>
      </c>
      <c r="BC53" s="5"/>
      <c r="BD53" s="180">
        <f t="shared" si="52"/>
        <v>5.0325606470927556E-2</v>
      </c>
      <c r="BE53" s="180">
        <f t="shared" si="94"/>
        <v>0.31937856325474734</v>
      </c>
      <c r="BF53" s="180"/>
      <c r="BG53" s="547">
        <f t="shared" si="95"/>
        <v>8.8643333333333278E-4</v>
      </c>
      <c r="BH53" s="547">
        <f t="shared" si="96"/>
        <v>1.4626006269592474E-2</v>
      </c>
      <c r="BI53" s="547">
        <f t="shared" si="97"/>
        <v>1.6992757539725431E-3</v>
      </c>
      <c r="BJ53" s="547">
        <f t="shared" si="98"/>
        <v>1.0758940646416601E-2</v>
      </c>
      <c r="BK53">
        <f t="shared" si="99"/>
        <v>6.96E-3</v>
      </c>
      <c r="BL53" s="473">
        <f t="shared" si="53"/>
        <v>34.930656003314951</v>
      </c>
      <c r="BM53" s="547">
        <f t="shared" si="100"/>
        <v>1.6799999999999999E-2</v>
      </c>
      <c r="BN53" s="547"/>
      <c r="BP53" s="473">
        <f t="shared" si="55"/>
        <v>16.8</v>
      </c>
      <c r="BQ53" s="547">
        <f t="shared" si="101"/>
        <v>2.7859333333333321E-4</v>
      </c>
      <c r="BR53" s="547">
        <f t="shared" si="102"/>
        <v>3.570093333333333E-3</v>
      </c>
      <c r="BS53" s="547">
        <f t="shared" si="103"/>
        <v>4.8792112132349974E-4</v>
      </c>
      <c r="BT53" s="547">
        <f t="shared" si="104"/>
        <v>1.143272727272727E-2</v>
      </c>
      <c r="BU53" s="473">
        <f t="shared" si="56"/>
        <v>15.769335060717436</v>
      </c>
      <c r="BV53" s="180">
        <f t="shared" si="57"/>
        <v>6.7499991064032386E-2</v>
      </c>
      <c r="BW53" s="5">
        <f t="shared" si="58"/>
        <v>0.3024</v>
      </c>
      <c r="BX53" s="180">
        <f t="shared" si="59"/>
        <v>0.81751826792461957</v>
      </c>
      <c r="BY53" s="5">
        <f t="shared" si="60"/>
        <v>81.751826792461955</v>
      </c>
      <c r="CB53" s="582">
        <f t="shared" si="105"/>
        <v>-50</v>
      </c>
      <c r="CC53">
        <f t="shared" si="106"/>
        <v>-50</v>
      </c>
    </row>
    <row r="54" spans="5:81" x14ac:dyDescent="0.25">
      <c r="E54" s="177">
        <v>49</v>
      </c>
      <c r="F54" s="224">
        <f t="shared" si="107"/>
        <v>4.9000000000000002E-2</v>
      </c>
      <c r="G54" s="224"/>
      <c r="H54" s="224">
        <f t="shared" si="62"/>
        <v>0.30870000000000003</v>
      </c>
      <c r="I54" s="560">
        <f t="shared" si="63"/>
        <v>24</v>
      </c>
      <c r="J54" s="179">
        <f t="shared" si="64"/>
        <v>13.1</v>
      </c>
      <c r="K54" s="455">
        <f t="shared" si="65"/>
        <v>37.1</v>
      </c>
      <c r="L54" s="455"/>
      <c r="M54" s="224">
        <f t="shared" si="66"/>
        <v>0.35309973045822102</v>
      </c>
      <c r="N54" s="179">
        <f t="shared" si="5"/>
        <v>5.5295417789757408</v>
      </c>
      <c r="O54" s="179">
        <f t="shared" si="46"/>
        <v>0.30870000000000003</v>
      </c>
      <c r="P54" s="224">
        <f t="shared" si="67"/>
        <v>0.87770504428186369</v>
      </c>
      <c r="Q54" s="224">
        <f t="shared" si="68"/>
        <v>6.3</v>
      </c>
      <c r="R54" s="224">
        <f t="shared" si="69"/>
        <v>0.97522782697984844</v>
      </c>
      <c r="S54" s="179">
        <f t="shared" si="70"/>
        <v>307.60158169031018</v>
      </c>
      <c r="T54" s="179">
        <f t="shared" si="71"/>
        <v>6.3</v>
      </c>
      <c r="U54" s="224">
        <f t="shared" si="72"/>
        <v>8.0949745547073793E-2</v>
      </c>
      <c r="V54" s="224">
        <f t="shared" si="73"/>
        <v>0.18550983354537745</v>
      </c>
      <c r="W54" s="224">
        <f t="shared" si="74"/>
        <v>0.33986534389992817</v>
      </c>
      <c r="X54" s="204">
        <f t="shared" si="75"/>
        <v>350</v>
      </c>
      <c r="Y54" s="455">
        <f t="shared" si="47"/>
        <v>350</v>
      </c>
      <c r="AA54" s="224">
        <f t="shared" si="76"/>
        <v>0.44022823537648331</v>
      </c>
      <c r="AB54" s="180">
        <f t="shared" si="77"/>
        <v>1.8482864844050828</v>
      </c>
      <c r="AC54" s="180">
        <f t="shared" si="78"/>
        <v>0.28478376412494877</v>
      </c>
      <c r="AD54" s="180"/>
      <c r="AE54" s="180">
        <f t="shared" si="79"/>
        <v>1.217557251908397</v>
      </c>
      <c r="AF54" s="564">
        <f t="shared" si="108"/>
        <v>138.77418657442439</v>
      </c>
      <c r="AG54" s="547">
        <f t="shared" si="80"/>
        <v>0.1235820610687023</v>
      </c>
      <c r="AI54" s="180">
        <f t="shared" si="81"/>
        <v>0.19248507747486571</v>
      </c>
      <c r="AJ54" s="180">
        <f t="shared" si="82"/>
        <v>0.28999999999999998</v>
      </c>
      <c r="AK54" s="180">
        <f t="shared" si="83"/>
        <v>1.0792995351853854</v>
      </c>
      <c r="AM54" s="564">
        <f t="shared" si="84"/>
        <v>49</v>
      </c>
      <c r="AN54" s="473">
        <f t="shared" si="85"/>
        <v>138.77418657442439</v>
      </c>
      <c r="AP54">
        <f t="shared" si="86"/>
        <v>49</v>
      </c>
      <c r="AQ54" s="473">
        <f t="shared" si="87"/>
        <v>138.77418657442439</v>
      </c>
      <c r="AR54" s="473"/>
      <c r="AS54" s="5">
        <f t="shared" si="48"/>
        <v>7.2059510827231659</v>
      </c>
      <c r="AT54" s="5">
        <f t="shared" si="88"/>
        <v>0.6645833333333333</v>
      </c>
      <c r="AU54" s="5">
        <f t="shared" si="49"/>
        <v>6.541367749389833</v>
      </c>
      <c r="AV54" s="5">
        <f t="shared" si="89"/>
        <v>1.217557251908397</v>
      </c>
      <c r="AW54" s="180">
        <f t="shared" si="50"/>
        <v>9.2227011494252872E-2</v>
      </c>
      <c r="AX54" s="180">
        <f t="shared" si="90"/>
        <v>0.32095000000000001</v>
      </c>
      <c r="AY54" s="180">
        <f t="shared" si="91"/>
        <v>0.26325416666666668</v>
      </c>
      <c r="AZ54" s="180">
        <f t="shared" si="51"/>
        <v>1.2191639891739605</v>
      </c>
      <c r="BA54" s="473">
        <f t="shared" si="92"/>
        <v>0.51689814814814816</v>
      </c>
      <c r="BB54" s="5">
        <f t="shared" si="93"/>
        <v>7.7905872848635857E-2</v>
      </c>
      <c r="BC54" s="5"/>
      <c r="BD54" s="180">
        <f t="shared" si="52"/>
        <v>5.0847129275462109E-2</v>
      </c>
      <c r="BE54" s="180">
        <f t="shared" si="94"/>
        <v>0.31904797619027631</v>
      </c>
      <c r="BF54" s="180"/>
      <c r="BG54" s="547">
        <f t="shared" si="95"/>
        <v>9.0490069444444459E-4</v>
      </c>
      <c r="BH54" s="547">
        <f t="shared" si="96"/>
        <v>1.493071473354232E-2</v>
      </c>
      <c r="BI54" s="547">
        <f t="shared" si="97"/>
        <v>1.7346773321803048E-3</v>
      </c>
      <c r="BJ54" s="547">
        <f t="shared" si="98"/>
        <v>1.0983085243216952E-2</v>
      </c>
      <c r="BK54">
        <f t="shared" si="99"/>
        <v>6.96E-3</v>
      </c>
      <c r="BL54" s="473">
        <f t="shared" si="53"/>
        <v>35.51337800338402</v>
      </c>
      <c r="BM54" s="547">
        <f t="shared" si="100"/>
        <v>1.7149999999999999E-2</v>
      </c>
      <c r="BN54" s="547"/>
      <c r="BP54" s="473">
        <f t="shared" si="55"/>
        <v>17.149999999999999</v>
      </c>
      <c r="BQ54" s="547">
        <f t="shared" si="101"/>
        <v>2.8439736111111115E-4</v>
      </c>
      <c r="BR54" s="547">
        <f t="shared" si="102"/>
        <v>3.5627063888888891E-3</v>
      </c>
      <c r="BS54" s="547">
        <f t="shared" si="103"/>
        <v>5.1373212610216423E-4</v>
      </c>
      <c r="BT54" s="547">
        <f t="shared" si="104"/>
        <v>1.1670909090909091E-2</v>
      </c>
      <c r="BU54" s="473">
        <f t="shared" si="56"/>
        <v>16.031744967011257</v>
      </c>
      <c r="BV54" s="180">
        <f t="shared" si="57"/>
        <v>6.8695122970395275E-2</v>
      </c>
      <c r="BW54" s="5">
        <f t="shared" si="58"/>
        <v>0.30870000000000003</v>
      </c>
      <c r="BX54" s="180">
        <f t="shared" si="59"/>
        <v>0.8179755943062782</v>
      </c>
      <c r="BY54" s="5">
        <f t="shared" si="60"/>
        <v>81.797559430627814</v>
      </c>
      <c r="CB54" s="582">
        <f t="shared" si="105"/>
        <v>-50</v>
      </c>
      <c r="CC54">
        <f t="shared" si="106"/>
        <v>-50</v>
      </c>
    </row>
    <row r="55" spans="5:81" x14ac:dyDescent="0.25">
      <c r="E55" s="177">
        <v>50</v>
      </c>
      <c r="F55" s="224">
        <f t="shared" si="107"/>
        <v>0.05</v>
      </c>
      <c r="G55" s="224"/>
      <c r="H55" s="224">
        <f t="shared" si="62"/>
        <v>0.315</v>
      </c>
      <c r="I55" s="560">
        <f t="shared" si="63"/>
        <v>24</v>
      </c>
      <c r="J55" s="179">
        <f t="shared" si="64"/>
        <v>13.1</v>
      </c>
      <c r="K55" s="455">
        <f t="shared" si="65"/>
        <v>37.1</v>
      </c>
      <c r="L55" s="455"/>
      <c r="M55" s="224">
        <f t="shared" si="66"/>
        <v>0.35309973045822102</v>
      </c>
      <c r="N55" s="179">
        <f t="shared" si="5"/>
        <v>5.5295417789757408</v>
      </c>
      <c r="O55" s="179">
        <f t="shared" si="46"/>
        <v>0.315</v>
      </c>
      <c r="P55" s="224">
        <f t="shared" si="67"/>
        <v>0.87770504428186369</v>
      </c>
      <c r="Q55" s="224">
        <f t="shared" si="68"/>
        <v>6.3</v>
      </c>
      <c r="R55" s="224">
        <f t="shared" si="69"/>
        <v>0.97522782697984844</v>
      </c>
      <c r="S55" s="179">
        <f t="shared" si="70"/>
        <v>301.20995157062941</v>
      </c>
      <c r="T55" s="179">
        <f t="shared" si="71"/>
        <v>6.3</v>
      </c>
      <c r="U55" s="224">
        <f t="shared" si="72"/>
        <v>8.260178117048346E-2</v>
      </c>
      <c r="V55" s="224">
        <f t="shared" si="73"/>
        <v>0.18929574851569128</v>
      </c>
      <c r="W55" s="224">
        <f t="shared" si="74"/>
        <v>0.34680137132645733</v>
      </c>
      <c r="X55" s="204">
        <f t="shared" si="75"/>
        <v>350</v>
      </c>
      <c r="Y55" s="455">
        <f t="shared" si="47"/>
        <v>350</v>
      </c>
      <c r="AA55" s="224">
        <f t="shared" si="76"/>
        <v>0.44022823537648331</v>
      </c>
      <c r="AB55" s="180">
        <f t="shared" si="77"/>
        <v>1.8482864844050828</v>
      </c>
      <c r="AC55" s="180">
        <f t="shared" si="78"/>
        <v>0.28478376412494877</v>
      </c>
      <c r="AD55" s="180"/>
      <c r="AE55" s="180">
        <f t="shared" si="79"/>
        <v>1.217557251908397</v>
      </c>
      <c r="AF55" s="564">
        <f t="shared" si="108"/>
        <v>141.60631283104527</v>
      </c>
      <c r="AG55" s="547">
        <f t="shared" si="80"/>
        <v>0.1235820610687023</v>
      </c>
      <c r="AI55" s="180">
        <f t="shared" si="81"/>
        <v>0.19443929079956501</v>
      </c>
      <c r="AJ55" s="180">
        <f t="shared" si="82"/>
        <v>0.28999999999999998</v>
      </c>
      <c r="AK55" s="180">
        <f t="shared" si="83"/>
        <v>1.0809178930463117</v>
      </c>
      <c r="AM55" s="564">
        <f t="shared" si="84"/>
        <v>50</v>
      </c>
      <c r="AN55" s="473">
        <f t="shared" si="85"/>
        <v>141.60631283104527</v>
      </c>
      <c r="AP55">
        <f t="shared" si="86"/>
        <v>50</v>
      </c>
      <c r="AQ55" s="473">
        <f t="shared" si="87"/>
        <v>141.60631283104527</v>
      </c>
      <c r="AR55" s="473"/>
      <c r="AS55" s="5">
        <f t="shared" si="48"/>
        <v>7.0618320610687038</v>
      </c>
      <c r="AT55" s="5">
        <f t="shared" si="88"/>
        <v>0.6645833333333333</v>
      </c>
      <c r="AU55" s="5">
        <f t="shared" si="49"/>
        <v>6.39724872773537</v>
      </c>
      <c r="AV55" s="5">
        <f t="shared" si="89"/>
        <v>1.217557251908397</v>
      </c>
      <c r="AW55" s="180">
        <f t="shared" si="50"/>
        <v>9.4109195402298826E-2</v>
      </c>
      <c r="AX55" s="180">
        <f t="shared" si="90"/>
        <v>0.32749999999999996</v>
      </c>
      <c r="AY55" s="180">
        <f t="shared" si="91"/>
        <v>0.26270833333333332</v>
      </c>
      <c r="AZ55" s="180">
        <f t="shared" si="51"/>
        <v>1.2466296590007928</v>
      </c>
      <c r="BA55" s="473">
        <f t="shared" si="92"/>
        <v>0.52744708994708989</v>
      </c>
      <c r="BB55" s="5">
        <f t="shared" si="93"/>
        <v>7.7744342177339554E-2</v>
      </c>
      <c r="BC55" s="5"/>
      <c r="BD55" s="180">
        <f t="shared" si="52"/>
        <v>5.1363357020783242E-2</v>
      </c>
      <c r="BE55" s="180">
        <f t="shared" si="94"/>
        <v>0.31871704622683039</v>
      </c>
      <c r="BF55" s="180"/>
      <c r="BG55" s="547">
        <f t="shared" si="95"/>
        <v>9.2336805555555499E-4</v>
      </c>
      <c r="BH55" s="547">
        <f t="shared" si="96"/>
        <v>1.5235423197492161E-2</v>
      </c>
      <c r="BI55" s="547">
        <f t="shared" si="97"/>
        <v>1.7700789103880657E-3</v>
      </c>
      <c r="BJ55" s="547">
        <f t="shared" si="98"/>
        <v>1.1207229840017294E-2</v>
      </c>
      <c r="BK55">
        <f t="shared" si="99"/>
        <v>6.96E-3</v>
      </c>
      <c r="BL55" s="473">
        <f t="shared" si="53"/>
        <v>36.096100003453074</v>
      </c>
      <c r="BM55" s="547">
        <f t="shared" si="100"/>
        <v>1.7499999999999998E-2</v>
      </c>
      <c r="BN55" s="547"/>
      <c r="BP55" s="473">
        <f t="shared" si="55"/>
        <v>17.499999999999996</v>
      </c>
      <c r="BQ55" s="547">
        <f t="shared" si="101"/>
        <v>2.9020138888888872E-4</v>
      </c>
      <c r="BR55" s="547">
        <f t="shared" si="102"/>
        <v>3.5553194444444443E-3</v>
      </c>
      <c r="BS55" s="547">
        <f t="shared" si="103"/>
        <v>5.4034549604364682E-4</v>
      </c>
      <c r="BT55" s="547">
        <f t="shared" si="104"/>
        <v>1.1909090909090907E-2</v>
      </c>
      <c r="BU55" s="473">
        <f t="shared" si="56"/>
        <v>16.294957238467887</v>
      </c>
      <c r="BV55" s="180">
        <f t="shared" si="57"/>
        <v>6.9891057241920976E-2</v>
      </c>
      <c r="BW55" s="5">
        <f t="shared" si="58"/>
        <v>0.315</v>
      </c>
      <c r="BX55" s="180">
        <f t="shared" si="59"/>
        <v>0.81841340315165767</v>
      </c>
      <c r="BY55" s="5">
        <f t="shared" si="60"/>
        <v>81.841340315165766</v>
      </c>
      <c r="CB55" s="582">
        <f t="shared" si="105"/>
        <v>-50</v>
      </c>
      <c r="CC55">
        <f t="shared" si="106"/>
        <v>-50</v>
      </c>
    </row>
    <row r="56" spans="5:81" x14ac:dyDescent="0.25">
      <c r="E56" s="177">
        <v>51</v>
      </c>
      <c r="F56" s="224">
        <f t="shared" si="107"/>
        <v>5.1000000000000004E-2</v>
      </c>
      <c r="G56" s="224"/>
      <c r="H56" s="224">
        <f t="shared" si="62"/>
        <v>0.32130000000000003</v>
      </c>
      <c r="I56" s="560">
        <f t="shared" si="63"/>
        <v>24</v>
      </c>
      <c r="J56" s="179">
        <f t="shared" si="64"/>
        <v>13.1</v>
      </c>
      <c r="K56" s="455">
        <f t="shared" si="65"/>
        <v>37.1</v>
      </c>
      <c r="L56" s="455"/>
      <c r="M56" s="224">
        <f t="shared" si="66"/>
        <v>0.35309973045822102</v>
      </c>
      <c r="N56" s="179">
        <f t="shared" si="5"/>
        <v>5.5295417789757408</v>
      </c>
      <c r="O56" s="179">
        <f t="shared" si="46"/>
        <v>0.32130000000000003</v>
      </c>
      <c r="P56" s="224">
        <f t="shared" si="67"/>
        <v>0.87770504428186369</v>
      </c>
      <c r="Q56" s="224">
        <f t="shared" si="68"/>
        <v>6.3</v>
      </c>
      <c r="R56" s="224">
        <f t="shared" si="69"/>
        <v>0.97522782697984844</v>
      </c>
      <c r="S56" s="179">
        <f t="shared" si="70"/>
        <v>295.06898203659375</v>
      </c>
      <c r="T56" s="179">
        <f t="shared" si="71"/>
        <v>6.3</v>
      </c>
      <c r="U56" s="224">
        <f t="shared" si="72"/>
        <v>8.4253816793893127E-2</v>
      </c>
      <c r="V56" s="224">
        <f t="shared" si="73"/>
        <v>0.19308166348600511</v>
      </c>
      <c r="W56" s="224">
        <f t="shared" si="74"/>
        <v>0.35373739875298649</v>
      </c>
      <c r="X56" s="204">
        <f t="shared" si="75"/>
        <v>350</v>
      </c>
      <c r="Y56" s="455">
        <f t="shared" si="47"/>
        <v>350</v>
      </c>
      <c r="AA56" s="224">
        <f t="shared" si="76"/>
        <v>0.44022823537648331</v>
      </c>
      <c r="AB56" s="180">
        <f t="shared" si="77"/>
        <v>1.8482864844050828</v>
      </c>
      <c r="AC56" s="180">
        <f t="shared" si="78"/>
        <v>0.28478376412494877</v>
      </c>
      <c r="AD56" s="180"/>
      <c r="AE56" s="180">
        <f t="shared" si="79"/>
        <v>1.217557251908397</v>
      </c>
      <c r="AF56" s="564">
        <f t="shared" si="108"/>
        <v>144.43843908766618</v>
      </c>
      <c r="AG56" s="547">
        <f t="shared" si="80"/>
        <v>0.1235820610687023</v>
      </c>
      <c r="AI56" s="180">
        <f t="shared" si="81"/>
        <v>0.19637405776418271</v>
      </c>
      <c r="AJ56" s="180">
        <f t="shared" si="82"/>
        <v>0.28999999999999998</v>
      </c>
      <c r="AK56" s="180">
        <f t="shared" si="83"/>
        <v>1.0825362509072378</v>
      </c>
      <c r="AM56" s="564">
        <f t="shared" si="84"/>
        <v>51.000000000000007</v>
      </c>
      <c r="AN56" s="473">
        <f t="shared" si="85"/>
        <v>144.43843908766618</v>
      </c>
      <c r="AP56">
        <f t="shared" si="86"/>
        <v>51.000000000000007</v>
      </c>
      <c r="AQ56" s="473">
        <f t="shared" si="87"/>
        <v>144.43843908766618</v>
      </c>
      <c r="AR56" s="473"/>
      <c r="AS56" s="5">
        <f t="shared" si="48"/>
        <v>6.9233647657536306</v>
      </c>
      <c r="AT56" s="5">
        <f t="shared" si="88"/>
        <v>0.6645833333333333</v>
      </c>
      <c r="AU56" s="5">
        <f t="shared" si="49"/>
        <v>6.2587814324202977</v>
      </c>
      <c r="AV56" s="5">
        <f t="shared" si="89"/>
        <v>1.217557251908397</v>
      </c>
      <c r="AW56" s="180">
        <f t="shared" si="50"/>
        <v>9.5991379310344807E-2</v>
      </c>
      <c r="AX56" s="180">
        <f t="shared" si="90"/>
        <v>0.33404999999999996</v>
      </c>
      <c r="AY56" s="180">
        <f t="shared" si="91"/>
        <v>0.26216249999999997</v>
      </c>
      <c r="AZ56" s="180">
        <f t="shared" si="51"/>
        <v>1.2742096981833786</v>
      </c>
      <c r="BA56" s="473">
        <f t="shared" si="92"/>
        <v>0.53799603174603172</v>
      </c>
      <c r="BB56" s="5">
        <f t="shared" si="93"/>
        <v>7.7582811506043264E-2</v>
      </c>
      <c r="BC56" s="5"/>
      <c r="BD56" s="180">
        <f t="shared" si="52"/>
        <v>5.1874447788225489E-2</v>
      </c>
      <c r="BE56" s="180">
        <f t="shared" si="94"/>
        <v>0.31838577229518283</v>
      </c>
      <c r="BF56" s="180"/>
      <c r="BG56" s="547">
        <f t="shared" si="95"/>
        <v>9.4183541666666636E-4</v>
      </c>
      <c r="BH56" s="547">
        <f t="shared" si="96"/>
        <v>1.5540131661442006E-2</v>
      </c>
      <c r="BI56" s="547">
        <f t="shared" si="97"/>
        <v>1.8054804885958271E-3</v>
      </c>
      <c r="BJ56" s="547">
        <f t="shared" si="98"/>
        <v>1.143137443681764E-2</v>
      </c>
      <c r="BK56">
        <f t="shared" si="99"/>
        <v>6.96E-3</v>
      </c>
      <c r="BL56" s="473">
        <f t="shared" si="53"/>
        <v>36.678822003522143</v>
      </c>
      <c r="BM56" s="547">
        <f t="shared" si="100"/>
        <v>1.7850000000000001E-2</v>
      </c>
      <c r="BN56" s="547"/>
      <c r="BP56" s="473">
        <f t="shared" si="55"/>
        <v>17.850000000000001</v>
      </c>
      <c r="BQ56" s="547">
        <f t="shared" si="101"/>
        <v>2.9600541666666657E-4</v>
      </c>
      <c r="BR56" s="547">
        <f t="shared" si="102"/>
        <v>3.5479325000000008E-3</v>
      </c>
      <c r="BS56" s="547">
        <f t="shared" si="103"/>
        <v>5.6776937747453858E-4</v>
      </c>
      <c r="BT56" s="547">
        <f t="shared" si="104"/>
        <v>1.2147272727272727E-2</v>
      </c>
      <c r="BU56" s="473">
        <f t="shared" si="56"/>
        <v>16.558980021413934</v>
      </c>
      <c r="BV56" s="180">
        <f t="shared" si="57"/>
        <v>7.1087802024936086E-2</v>
      </c>
      <c r="BW56" s="5">
        <f t="shared" si="58"/>
        <v>0.32130000000000003</v>
      </c>
      <c r="BX56" s="180">
        <f t="shared" si="59"/>
        <v>0.81883279332822256</v>
      </c>
      <c r="BY56" s="5">
        <f t="shared" si="60"/>
        <v>81.883279332822255</v>
      </c>
      <c r="CB56" s="582">
        <f t="shared" si="105"/>
        <v>-50</v>
      </c>
      <c r="CC56">
        <f t="shared" si="106"/>
        <v>-50</v>
      </c>
    </row>
    <row r="57" spans="5:81" x14ac:dyDescent="0.25">
      <c r="E57" s="177">
        <v>52</v>
      </c>
      <c r="F57" s="224">
        <f t="shared" si="107"/>
        <v>5.2000000000000005E-2</v>
      </c>
      <c r="G57" s="224"/>
      <c r="H57" s="224">
        <f t="shared" si="62"/>
        <v>0.3276</v>
      </c>
      <c r="I57" s="560">
        <f t="shared" si="63"/>
        <v>24</v>
      </c>
      <c r="J57" s="179">
        <f t="shared" si="64"/>
        <v>13.1</v>
      </c>
      <c r="K57" s="455">
        <f t="shared" si="65"/>
        <v>37.1</v>
      </c>
      <c r="L57" s="455"/>
      <c r="M57" s="224">
        <f t="shared" si="66"/>
        <v>0.35309973045822102</v>
      </c>
      <c r="N57" s="179">
        <f t="shared" si="5"/>
        <v>5.5295417789757408</v>
      </c>
      <c r="O57" s="179">
        <f t="shared" si="46"/>
        <v>0.3276</v>
      </c>
      <c r="P57" s="224">
        <f t="shared" si="67"/>
        <v>0.87770504428186369</v>
      </c>
      <c r="Q57" s="224">
        <f t="shared" si="68"/>
        <v>6.3</v>
      </c>
      <c r="R57" s="224">
        <f t="shared" si="69"/>
        <v>0.97522782697984844</v>
      </c>
      <c r="S57" s="179">
        <f t="shared" si="70"/>
        <v>289.16421191985359</v>
      </c>
      <c r="T57" s="179">
        <f t="shared" si="71"/>
        <v>6.3</v>
      </c>
      <c r="U57" s="224">
        <f t="shared" si="72"/>
        <v>8.5905852417302794E-2</v>
      </c>
      <c r="V57" s="224">
        <f t="shared" si="73"/>
        <v>0.19686757845631889</v>
      </c>
      <c r="W57" s="224">
        <f t="shared" si="74"/>
        <v>0.36067342617951553</v>
      </c>
      <c r="X57" s="204">
        <f t="shared" si="75"/>
        <v>350</v>
      </c>
      <c r="Y57" s="455">
        <f t="shared" si="47"/>
        <v>350</v>
      </c>
      <c r="AA57" s="224">
        <f t="shared" si="76"/>
        <v>0.44022823537648331</v>
      </c>
      <c r="AB57" s="180">
        <f t="shared" si="77"/>
        <v>1.8482864844050828</v>
      </c>
      <c r="AC57" s="180">
        <f t="shared" si="78"/>
        <v>0.28478376412494877</v>
      </c>
      <c r="AD57" s="180"/>
      <c r="AE57" s="180">
        <f t="shared" si="79"/>
        <v>1.217557251908397</v>
      </c>
      <c r="AF57" s="564">
        <f t="shared" si="108"/>
        <v>147.27056534428709</v>
      </c>
      <c r="AG57" s="547">
        <f t="shared" si="80"/>
        <v>0.1235820610687023</v>
      </c>
      <c r="AI57" s="180">
        <f t="shared" si="81"/>
        <v>0.1982899475992248</v>
      </c>
      <c r="AJ57" s="180">
        <f t="shared" si="82"/>
        <v>0.28999999999999998</v>
      </c>
      <c r="AK57" s="180">
        <f t="shared" si="83"/>
        <v>1.0841546087681642</v>
      </c>
      <c r="AM57" s="564">
        <f t="shared" si="84"/>
        <v>52.000000000000007</v>
      </c>
      <c r="AN57" s="473">
        <f t="shared" si="85"/>
        <v>147.27056534428709</v>
      </c>
      <c r="AP57">
        <f t="shared" si="86"/>
        <v>52.000000000000007</v>
      </c>
      <c r="AQ57" s="473">
        <f t="shared" si="87"/>
        <v>147.27056534428709</v>
      </c>
      <c r="AR57" s="473"/>
      <c r="AS57" s="5">
        <f t="shared" si="48"/>
        <v>6.7902231356429832</v>
      </c>
      <c r="AT57" s="5">
        <f t="shared" si="88"/>
        <v>0.6645833333333333</v>
      </c>
      <c r="AU57" s="5">
        <f t="shared" si="49"/>
        <v>6.1256398023096494</v>
      </c>
      <c r="AV57" s="5">
        <f t="shared" si="89"/>
        <v>1.217557251908397</v>
      </c>
      <c r="AW57" s="180">
        <f t="shared" si="50"/>
        <v>9.7873563218390802E-2</v>
      </c>
      <c r="AX57" s="180">
        <f t="shared" si="90"/>
        <v>0.34059999999999996</v>
      </c>
      <c r="AY57" s="180">
        <f t="shared" si="91"/>
        <v>0.26161666666666666</v>
      </c>
      <c r="AZ57" s="180">
        <f t="shared" si="51"/>
        <v>1.3019048225775625</v>
      </c>
      <c r="BA57" s="473">
        <f t="shared" si="92"/>
        <v>0.54854497354497356</v>
      </c>
      <c r="BB57" s="5">
        <f t="shared" si="93"/>
        <v>7.7421280834746947E-2</v>
      </c>
      <c r="BC57" s="5"/>
      <c r="BD57" s="180">
        <f t="shared" si="52"/>
        <v>5.2380551946521352E-2</v>
      </c>
      <c r="BE57" s="180">
        <f t="shared" si="94"/>
        <v>0.31805415332053821</v>
      </c>
      <c r="BF57" s="180"/>
      <c r="BG57" s="547">
        <f t="shared" si="95"/>
        <v>9.6030277777777752E-4</v>
      </c>
      <c r="BH57" s="547">
        <f t="shared" si="96"/>
        <v>1.5844840125391849E-2</v>
      </c>
      <c r="BI57" s="547">
        <f t="shared" si="97"/>
        <v>1.8408820668035886E-3</v>
      </c>
      <c r="BJ57" s="547">
        <f t="shared" si="98"/>
        <v>1.1655519033617986E-2</v>
      </c>
      <c r="BK57">
        <f t="shared" si="99"/>
        <v>6.96E-3</v>
      </c>
      <c r="BL57" s="473">
        <f t="shared" si="53"/>
        <v>37.261544003591197</v>
      </c>
      <c r="BM57" s="547">
        <f t="shared" si="100"/>
        <v>1.8200000000000001E-2</v>
      </c>
      <c r="BN57" s="547"/>
      <c r="BP57" s="473">
        <f t="shared" si="55"/>
        <v>18.2</v>
      </c>
      <c r="BQ57" s="547">
        <f t="shared" si="101"/>
        <v>3.0180944444444441E-4</v>
      </c>
      <c r="BR57" s="547">
        <f t="shared" si="102"/>
        <v>3.5405455555555551E-3</v>
      </c>
      <c r="BS57" s="547">
        <f t="shared" si="103"/>
        <v>5.9601183564933198E-4</v>
      </c>
      <c r="BT57" s="547">
        <f t="shared" si="104"/>
        <v>1.2385454545454545E-2</v>
      </c>
      <c r="BU57" s="473">
        <f t="shared" si="56"/>
        <v>16.823821381103876</v>
      </c>
      <c r="BV57" s="180">
        <f t="shared" si="57"/>
        <v>7.2285365384695072E-2</v>
      </c>
      <c r="BW57" s="5">
        <f t="shared" si="58"/>
        <v>0.3276</v>
      </c>
      <c r="BX57" s="180">
        <f t="shared" si="59"/>
        <v>0.8192347816601</v>
      </c>
      <c r="BY57" s="5">
        <f t="shared" si="60"/>
        <v>81.92347816601</v>
      </c>
      <c r="CB57" s="582">
        <f t="shared" si="105"/>
        <v>-50</v>
      </c>
      <c r="CC57">
        <f t="shared" si="106"/>
        <v>-50</v>
      </c>
    </row>
    <row r="58" spans="5:81" x14ac:dyDescent="0.25">
      <c r="E58" s="177">
        <v>53</v>
      </c>
      <c r="F58" s="224">
        <f t="shared" si="107"/>
        <v>5.3000000000000005E-2</v>
      </c>
      <c r="G58" s="224"/>
      <c r="H58" s="224">
        <f t="shared" si="62"/>
        <v>0.33390000000000003</v>
      </c>
      <c r="I58" s="560">
        <f t="shared" si="63"/>
        <v>24</v>
      </c>
      <c r="J58" s="179">
        <f t="shared" si="64"/>
        <v>13.1</v>
      </c>
      <c r="K58" s="455">
        <f t="shared" si="65"/>
        <v>37.1</v>
      </c>
      <c r="L58" s="455"/>
      <c r="M58" s="224">
        <f t="shared" si="66"/>
        <v>0.35309973045822102</v>
      </c>
      <c r="N58" s="179">
        <f t="shared" si="5"/>
        <v>5.5295417789757408</v>
      </c>
      <c r="O58" s="179">
        <f t="shared" si="46"/>
        <v>0.33390000000000003</v>
      </c>
      <c r="P58" s="224">
        <f t="shared" si="67"/>
        <v>0.87770504428186369</v>
      </c>
      <c r="Q58" s="224">
        <f t="shared" si="68"/>
        <v>6.3</v>
      </c>
      <c r="R58" s="224">
        <f t="shared" si="69"/>
        <v>0.97522782697984844</v>
      </c>
      <c r="S58" s="179">
        <f t="shared" si="70"/>
        <v>283.48227146104898</v>
      </c>
      <c r="T58" s="179">
        <f t="shared" si="71"/>
        <v>6.3</v>
      </c>
      <c r="U58" s="224">
        <f t="shared" si="72"/>
        <v>8.7557888040712475E-2</v>
      </c>
      <c r="V58" s="224">
        <f t="shared" si="73"/>
        <v>0.20065349342663275</v>
      </c>
      <c r="W58" s="224">
        <f t="shared" si="74"/>
        <v>0.36760945360604474</v>
      </c>
      <c r="X58" s="204">
        <f t="shared" si="75"/>
        <v>350</v>
      </c>
      <c r="Y58" s="455">
        <f t="shared" si="47"/>
        <v>350</v>
      </c>
      <c r="AA58" s="224">
        <f t="shared" si="76"/>
        <v>0.44022823537648331</v>
      </c>
      <c r="AB58" s="180">
        <f t="shared" si="77"/>
        <v>1.8482864844050828</v>
      </c>
      <c r="AC58" s="180">
        <f t="shared" si="78"/>
        <v>0.28478376412494877</v>
      </c>
      <c r="AD58" s="180"/>
      <c r="AE58" s="180">
        <f t="shared" si="79"/>
        <v>1.217557251908397</v>
      </c>
      <c r="AF58" s="564">
        <f t="shared" si="108"/>
        <v>150.102691600908</v>
      </c>
      <c r="AG58" s="547">
        <f t="shared" si="80"/>
        <v>0.1235820610687023</v>
      </c>
      <c r="AI58" s="180">
        <f t="shared" si="81"/>
        <v>0.2001875022948138</v>
      </c>
      <c r="AJ58" s="180">
        <f t="shared" si="82"/>
        <v>0.28999999999999998</v>
      </c>
      <c r="AK58" s="180">
        <f t="shared" si="83"/>
        <v>1.0857729666290903</v>
      </c>
      <c r="AM58" s="564">
        <f t="shared" si="84"/>
        <v>53.000000000000007</v>
      </c>
      <c r="AN58" s="473">
        <f t="shared" si="85"/>
        <v>150.102691600908</v>
      </c>
      <c r="AP58">
        <f t="shared" si="86"/>
        <v>53.000000000000007</v>
      </c>
      <c r="AQ58" s="473">
        <f t="shared" si="87"/>
        <v>150.102691600908</v>
      </c>
      <c r="AR58" s="473"/>
      <c r="AS58" s="5">
        <f t="shared" si="48"/>
        <v>6.6621057179893421</v>
      </c>
      <c r="AT58" s="5">
        <f t="shared" si="88"/>
        <v>0.6645833333333333</v>
      </c>
      <c r="AU58" s="5">
        <f t="shared" si="49"/>
        <v>5.9975223846560084</v>
      </c>
      <c r="AV58" s="5">
        <f t="shared" si="89"/>
        <v>1.217557251908397</v>
      </c>
      <c r="AW58" s="180">
        <f t="shared" si="50"/>
        <v>9.975574712643677E-2</v>
      </c>
      <c r="AX58" s="180">
        <f t="shared" si="90"/>
        <v>0.34715000000000001</v>
      </c>
      <c r="AY58" s="180">
        <f t="shared" si="91"/>
        <v>0.26107083333333331</v>
      </c>
      <c r="AZ58" s="180">
        <f t="shared" si="51"/>
        <v>1.3297157540258873</v>
      </c>
      <c r="BA58" s="473">
        <f t="shared" si="92"/>
        <v>0.55909391534391539</v>
      </c>
      <c r="BB58" s="5">
        <f t="shared" si="93"/>
        <v>7.7259750163450658E-2</v>
      </c>
      <c r="BC58" s="5"/>
      <c r="BD58" s="180">
        <f t="shared" si="52"/>
        <v>5.2881812668545226E-2</v>
      </c>
      <c r="BE58" s="180">
        <f t="shared" si="94"/>
        <v>0.31772218822249237</v>
      </c>
      <c r="BF58" s="180"/>
      <c r="BG58" s="547">
        <f t="shared" si="95"/>
        <v>9.7877013888888857E-4</v>
      </c>
      <c r="BH58" s="547">
        <f t="shared" si="96"/>
        <v>1.6149548589341693E-2</v>
      </c>
      <c r="BI58" s="547">
        <f t="shared" si="97"/>
        <v>1.87628364501135E-3</v>
      </c>
      <c r="BJ58" s="547">
        <f t="shared" si="98"/>
        <v>1.1879663630418332E-2</v>
      </c>
      <c r="BK58">
        <f t="shared" si="99"/>
        <v>6.96E-3</v>
      </c>
      <c r="BL58" s="473">
        <f t="shared" si="53"/>
        <v>37.844266003660266</v>
      </c>
      <c r="BM58" s="547">
        <f t="shared" si="100"/>
        <v>1.8550000000000001E-2</v>
      </c>
      <c r="BN58" s="547"/>
      <c r="BP58" s="473">
        <f t="shared" si="55"/>
        <v>18.55</v>
      </c>
      <c r="BQ58" s="547">
        <f t="shared" si="101"/>
        <v>3.0761347222222214E-4</v>
      </c>
      <c r="BR58" s="547">
        <f t="shared" si="102"/>
        <v>3.5331586111111112E-3</v>
      </c>
      <c r="BS58" s="547">
        <f t="shared" si="103"/>
        <v>6.2508085712393853E-4</v>
      </c>
      <c r="BT58" s="547">
        <f t="shared" si="104"/>
        <v>1.2623636363636365E-2</v>
      </c>
      <c r="BU58" s="473">
        <f t="shared" si="56"/>
        <v>17.08948930409364</v>
      </c>
      <c r="BV58" s="180">
        <f t="shared" si="57"/>
        <v>7.3483755307753904E-2</v>
      </c>
      <c r="BW58" s="5">
        <f t="shared" si="58"/>
        <v>0.33390000000000003</v>
      </c>
      <c r="BX58" s="180">
        <f t="shared" si="59"/>
        <v>0.81962031045582229</v>
      </c>
      <c r="BY58" s="5">
        <f t="shared" si="60"/>
        <v>81.962031045582222</v>
      </c>
      <c r="CB58" s="582">
        <f t="shared" si="105"/>
        <v>-50</v>
      </c>
      <c r="CC58">
        <f t="shared" si="106"/>
        <v>-50</v>
      </c>
    </row>
    <row r="59" spans="5:81" x14ac:dyDescent="0.25">
      <c r="E59" s="177">
        <v>54</v>
      </c>
      <c r="F59" s="224">
        <f t="shared" si="107"/>
        <v>5.4000000000000006E-2</v>
      </c>
      <c r="G59" s="224"/>
      <c r="H59" s="224">
        <f t="shared" si="62"/>
        <v>0.34020000000000006</v>
      </c>
      <c r="I59" s="560">
        <f t="shared" si="63"/>
        <v>24</v>
      </c>
      <c r="J59" s="179">
        <f t="shared" si="64"/>
        <v>13.1</v>
      </c>
      <c r="K59" s="455">
        <f t="shared" si="65"/>
        <v>37.1</v>
      </c>
      <c r="L59" s="455"/>
      <c r="M59" s="224">
        <f t="shared" si="66"/>
        <v>0.35309973045822102</v>
      </c>
      <c r="N59" s="179">
        <f t="shared" si="5"/>
        <v>5.5295417789757408</v>
      </c>
      <c r="O59" s="179">
        <f t="shared" si="46"/>
        <v>0.34020000000000006</v>
      </c>
      <c r="P59" s="224">
        <f t="shared" si="67"/>
        <v>0.87770504428186369</v>
      </c>
      <c r="Q59" s="224">
        <f t="shared" si="68"/>
        <v>6.3</v>
      </c>
      <c r="R59" s="224">
        <f t="shared" si="69"/>
        <v>0.97522782697984844</v>
      </c>
      <c r="S59" s="179">
        <f t="shared" si="70"/>
        <v>278.01078125342161</v>
      </c>
      <c r="T59" s="179">
        <f t="shared" si="71"/>
        <v>6.3</v>
      </c>
      <c r="U59" s="224">
        <f t="shared" si="72"/>
        <v>8.9209923664122143E-2</v>
      </c>
      <c r="V59" s="224">
        <f t="shared" si="73"/>
        <v>0.20443940839694658</v>
      </c>
      <c r="W59" s="224">
        <f t="shared" si="74"/>
        <v>0.3745454810325739</v>
      </c>
      <c r="X59" s="204">
        <f t="shared" si="75"/>
        <v>350</v>
      </c>
      <c r="Y59" s="455">
        <f t="shared" si="47"/>
        <v>350</v>
      </c>
      <c r="AA59" s="224">
        <f t="shared" si="76"/>
        <v>0.44022823537648331</v>
      </c>
      <c r="AB59" s="180">
        <f t="shared" si="77"/>
        <v>1.8482864844050828</v>
      </c>
      <c r="AC59" s="180">
        <f t="shared" si="78"/>
        <v>0.28478376412494877</v>
      </c>
      <c r="AD59" s="180"/>
      <c r="AE59" s="180">
        <f t="shared" si="79"/>
        <v>1.217557251908397</v>
      </c>
      <c r="AF59" s="564">
        <f t="shared" si="108"/>
        <v>152.93481785752891</v>
      </c>
      <c r="AG59" s="547">
        <f t="shared" si="80"/>
        <v>0.1235820610687023</v>
      </c>
      <c r="AI59" s="180">
        <f t="shared" si="81"/>
        <v>0.20206723839150381</v>
      </c>
      <c r="AJ59" s="180">
        <f t="shared" si="82"/>
        <v>0.28999999999999998</v>
      </c>
      <c r="AK59" s="180">
        <f t="shared" si="83"/>
        <v>1.0873913244900164</v>
      </c>
      <c r="AM59" s="564">
        <f t="shared" si="84"/>
        <v>54.000000000000007</v>
      </c>
      <c r="AN59" s="473">
        <f t="shared" si="85"/>
        <v>152.93481785752891</v>
      </c>
      <c r="AP59">
        <f t="shared" si="86"/>
        <v>54.000000000000007</v>
      </c>
      <c r="AQ59" s="473">
        <f t="shared" si="87"/>
        <v>152.93481785752891</v>
      </c>
      <c r="AR59" s="473"/>
      <c r="AS59" s="5">
        <f t="shared" si="48"/>
        <v>6.5387333898784279</v>
      </c>
      <c r="AT59" s="5">
        <f t="shared" si="88"/>
        <v>0.6645833333333333</v>
      </c>
      <c r="AU59" s="5">
        <f t="shared" si="49"/>
        <v>5.8741500565450941</v>
      </c>
      <c r="AV59" s="5">
        <f t="shared" si="89"/>
        <v>1.217557251908397</v>
      </c>
      <c r="AW59" s="180">
        <f t="shared" si="50"/>
        <v>0.10163793103448275</v>
      </c>
      <c r="AX59" s="180">
        <f t="shared" si="90"/>
        <v>0.35369999999999996</v>
      </c>
      <c r="AY59" s="180">
        <f t="shared" si="91"/>
        <v>0.26052500000000001</v>
      </c>
      <c r="AZ59" s="180">
        <f t="shared" si="51"/>
        <v>1.3576432204203051</v>
      </c>
      <c r="BA59" s="473">
        <f t="shared" si="92"/>
        <v>0.56964285714285723</v>
      </c>
      <c r="BB59" s="5">
        <f t="shared" si="93"/>
        <v>7.7098219492154368E-2</v>
      </c>
      <c r="BC59" s="5"/>
      <c r="BD59" s="180">
        <f t="shared" si="52"/>
        <v>5.3378366404377722E-2</v>
      </c>
      <c r="BE59" s="180">
        <f t="shared" si="94"/>
        <v>0.3173898759149909</v>
      </c>
      <c r="BF59" s="180"/>
      <c r="BG59" s="547">
        <f t="shared" si="95"/>
        <v>9.9723749999999995E-4</v>
      </c>
      <c r="BH59" s="547">
        <f t="shared" si="96"/>
        <v>1.6454257053291534E-2</v>
      </c>
      <c r="BI59" s="547">
        <f t="shared" si="97"/>
        <v>1.9116852232191114E-3</v>
      </c>
      <c r="BJ59" s="547">
        <f t="shared" si="98"/>
        <v>1.210380822721868E-2</v>
      </c>
      <c r="BK59">
        <f t="shared" si="99"/>
        <v>6.96E-3</v>
      </c>
      <c r="BL59" s="473">
        <f t="shared" si="53"/>
        <v>38.426988003729335</v>
      </c>
      <c r="BM59" s="547">
        <f t="shared" si="100"/>
        <v>1.89E-2</v>
      </c>
      <c r="BN59" s="547"/>
      <c r="BP59" s="473">
        <f t="shared" si="55"/>
        <v>18.899999999999999</v>
      </c>
      <c r="BQ59" s="547">
        <f t="shared" si="101"/>
        <v>3.1341750000000003E-4</v>
      </c>
      <c r="BR59" s="547">
        <f t="shared" si="102"/>
        <v>3.5257716666666663E-3</v>
      </c>
      <c r="BS59" s="547">
        <f t="shared" si="103"/>
        <v>6.5498435201557701E-4</v>
      </c>
      <c r="BT59" s="547">
        <f t="shared" si="104"/>
        <v>1.2861818181818183E-2</v>
      </c>
      <c r="BU59" s="473">
        <f t="shared" si="56"/>
        <v>17.355991700500425</v>
      </c>
      <c r="BV59" s="180">
        <f t="shared" si="57"/>
        <v>7.4682979704229754E-2</v>
      </c>
      <c r="BW59" s="5">
        <f t="shared" si="58"/>
        <v>0.34020000000000006</v>
      </c>
      <c r="BX59" s="180">
        <f t="shared" si="59"/>
        <v>0.8199902542218741</v>
      </c>
      <c r="BY59" s="5">
        <f t="shared" si="60"/>
        <v>81.999025422187415</v>
      </c>
      <c r="CB59" s="582">
        <f t="shared" si="105"/>
        <v>-50</v>
      </c>
      <c r="CC59">
        <f t="shared" si="106"/>
        <v>-50</v>
      </c>
    </row>
    <row r="60" spans="5:81" x14ac:dyDescent="0.25">
      <c r="E60" s="177">
        <v>55</v>
      </c>
      <c r="F60" s="224">
        <f t="shared" si="107"/>
        <v>5.5000000000000007E-2</v>
      </c>
      <c r="G60" s="224"/>
      <c r="H60" s="224">
        <f t="shared" si="62"/>
        <v>0.34650000000000003</v>
      </c>
      <c r="I60" s="560">
        <f t="shared" si="63"/>
        <v>24</v>
      </c>
      <c r="J60" s="179">
        <f t="shared" si="64"/>
        <v>13.1</v>
      </c>
      <c r="K60" s="455">
        <f t="shared" si="65"/>
        <v>37.1</v>
      </c>
      <c r="L60" s="455"/>
      <c r="M60" s="224">
        <f t="shared" si="66"/>
        <v>0.35309973045822102</v>
      </c>
      <c r="N60" s="179">
        <f t="shared" si="5"/>
        <v>5.5295417789757408</v>
      </c>
      <c r="O60" s="179">
        <f t="shared" si="46"/>
        <v>0.34650000000000003</v>
      </c>
      <c r="P60" s="224">
        <f t="shared" si="67"/>
        <v>0.87770504428186369</v>
      </c>
      <c r="Q60" s="224">
        <f t="shared" si="68"/>
        <v>6.3</v>
      </c>
      <c r="R60" s="224">
        <f t="shared" si="69"/>
        <v>0.97522782697984844</v>
      </c>
      <c r="S60" s="179">
        <f t="shared" si="70"/>
        <v>272.73826221076075</v>
      </c>
      <c r="T60" s="179">
        <f t="shared" si="71"/>
        <v>6.3</v>
      </c>
      <c r="U60" s="224">
        <f t="shared" si="72"/>
        <v>9.086195928753181E-2</v>
      </c>
      <c r="V60" s="224">
        <f t="shared" si="73"/>
        <v>0.20822532336726038</v>
      </c>
      <c r="W60" s="224">
        <f t="shared" si="74"/>
        <v>0.381481508459103</v>
      </c>
      <c r="X60" s="204">
        <f t="shared" si="75"/>
        <v>350</v>
      </c>
      <c r="Y60" s="455">
        <f t="shared" si="47"/>
        <v>350</v>
      </c>
      <c r="AA60" s="224">
        <f t="shared" si="76"/>
        <v>0.44022823537648331</v>
      </c>
      <c r="AB60" s="180">
        <f t="shared" si="77"/>
        <v>1.8482864844050828</v>
      </c>
      <c r="AC60" s="180">
        <f t="shared" si="78"/>
        <v>0.28478376412494877</v>
      </c>
      <c r="AD60" s="180"/>
      <c r="AE60" s="180">
        <f t="shared" si="79"/>
        <v>1.217557251908397</v>
      </c>
      <c r="AF60" s="564">
        <f t="shared" si="108"/>
        <v>155.76694411414982</v>
      </c>
      <c r="AG60" s="547">
        <f t="shared" si="80"/>
        <v>0.1235820610687023</v>
      </c>
      <c r="AI60" s="180">
        <f t="shared" si="81"/>
        <v>0.20392964862251292</v>
      </c>
      <c r="AJ60" s="180">
        <f t="shared" si="82"/>
        <v>0.28999999999999998</v>
      </c>
      <c r="AK60" s="180">
        <f t="shared" si="83"/>
        <v>1.0890096823509428</v>
      </c>
      <c r="AM60" s="564">
        <f t="shared" si="84"/>
        <v>55.000000000000007</v>
      </c>
      <c r="AN60" s="473">
        <f t="shared" si="85"/>
        <v>155.76694411414982</v>
      </c>
      <c r="AP60">
        <f t="shared" si="86"/>
        <v>55.000000000000007</v>
      </c>
      <c r="AQ60">
        <f t="shared" si="87"/>
        <v>155.76694411414982</v>
      </c>
      <c r="AS60" s="5">
        <f t="shared" si="48"/>
        <v>6.4198473282442752</v>
      </c>
      <c r="AT60" s="5">
        <f t="shared" si="88"/>
        <v>0.6645833333333333</v>
      </c>
      <c r="AU60" s="5">
        <f t="shared" si="49"/>
        <v>5.7552639949109423</v>
      </c>
      <c r="AV60" s="5">
        <f t="shared" si="89"/>
        <v>1.217557251908397</v>
      </c>
      <c r="AW60" s="180">
        <f t="shared" si="50"/>
        <v>0.10352011494252873</v>
      </c>
      <c r="AX60" s="180">
        <f t="shared" si="90"/>
        <v>0.36025000000000001</v>
      </c>
      <c r="AY60" s="180">
        <f t="shared" si="91"/>
        <v>0.25997916666666665</v>
      </c>
      <c r="AZ60" s="180">
        <f t="shared" si="51"/>
        <v>1.3856879557656865</v>
      </c>
      <c r="BA60" s="473">
        <f t="shared" si="92"/>
        <v>0.58019179894179906</v>
      </c>
      <c r="BB60" s="5">
        <f t="shared" si="93"/>
        <v>7.6936688820858065E-2</v>
      </c>
      <c r="BC60" s="5"/>
      <c r="BD60" s="180">
        <f t="shared" si="52"/>
        <v>5.3870343315119945E-2</v>
      </c>
      <c r="BE60" s="180">
        <f t="shared" si="94"/>
        <v>0.31705721530628778</v>
      </c>
      <c r="BF60" s="180"/>
      <c r="BG60" s="547">
        <f t="shared" si="95"/>
        <v>1.0157048611111107E-3</v>
      </c>
      <c r="BH60" s="547">
        <f t="shared" si="96"/>
        <v>1.6758965517241379E-2</v>
      </c>
      <c r="BI60" s="547">
        <f t="shared" si="97"/>
        <v>1.9470868014268726E-3</v>
      </c>
      <c r="BJ60" s="547">
        <f t="shared" si="98"/>
        <v>1.2327952824019026E-2</v>
      </c>
      <c r="BK60">
        <f t="shared" si="99"/>
        <v>6.96E-3</v>
      </c>
      <c r="BL60" s="473">
        <f t="shared" si="53"/>
        <v>39.009710003798389</v>
      </c>
      <c r="BM60" s="547">
        <f t="shared" si="100"/>
        <v>1.925E-2</v>
      </c>
      <c r="BN60" s="547"/>
      <c r="BP60" s="473">
        <f t="shared" si="55"/>
        <v>19.25</v>
      </c>
      <c r="BQ60" s="547">
        <f t="shared" si="101"/>
        <v>3.1922152777777766E-4</v>
      </c>
      <c r="BR60" s="547">
        <f t="shared" si="102"/>
        <v>3.5183847222222207E-3</v>
      </c>
      <c r="BS60" s="547">
        <f t="shared" si="103"/>
        <v>6.8573015615655455E-4</v>
      </c>
      <c r="BT60" s="547">
        <f t="shared" si="104"/>
        <v>1.3100000000000002E-2</v>
      </c>
      <c r="BU60" s="473">
        <f t="shared" si="56"/>
        <v>17.623336406156557</v>
      </c>
      <c r="BV60" s="180">
        <f t="shared" si="57"/>
        <v>7.5883046409954927E-2</v>
      </c>
      <c r="BW60" s="5">
        <f t="shared" si="58"/>
        <v>0.34650000000000003</v>
      </c>
      <c r="BX60" s="180">
        <f t="shared" si="59"/>
        <v>0.82034542566297841</v>
      </c>
      <c r="BY60" s="5">
        <f t="shared" si="60"/>
        <v>82.034542566297844</v>
      </c>
      <c r="CB60" s="582">
        <f t="shared" si="105"/>
        <v>-50</v>
      </c>
      <c r="CC60">
        <f t="shared" si="106"/>
        <v>-50</v>
      </c>
    </row>
    <row r="61" spans="5:81" x14ac:dyDescent="0.25">
      <c r="E61" s="177">
        <v>56</v>
      </c>
      <c r="F61" s="224">
        <f t="shared" si="107"/>
        <v>5.6000000000000008E-2</v>
      </c>
      <c r="G61" s="224"/>
      <c r="H61" s="224">
        <f t="shared" si="62"/>
        <v>0.35280000000000006</v>
      </c>
      <c r="I61" s="560">
        <f t="shared" si="63"/>
        <v>24</v>
      </c>
      <c r="J61" s="179">
        <f t="shared" si="64"/>
        <v>13.1</v>
      </c>
      <c r="K61" s="455">
        <f t="shared" si="65"/>
        <v>37.1</v>
      </c>
      <c r="L61" s="455"/>
      <c r="M61" s="224">
        <f t="shared" si="66"/>
        <v>0.35309973045822102</v>
      </c>
      <c r="N61" s="179">
        <f t="shared" si="5"/>
        <v>5.5295417789757408</v>
      </c>
      <c r="O61" s="179">
        <f t="shared" si="46"/>
        <v>0.35280000000000006</v>
      </c>
      <c r="P61" s="224">
        <f t="shared" si="67"/>
        <v>0.87770504428186369</v>
      </c>
      <c r="Q61" s="224">
        <f t="shared" si="68"/>
        <v>6.3</v>
      </c>
      <c r="R61" s="224">
        <f t="shared" si="69"/>
        <v>0.97522782697984844</v>
      </c>
      <c r="S61" s="179">
        <f t="shared" si="70"/>
        <v>267.65405518163993</v>
      </c>
      <c r="T61" s="179">
        <f t="shared" si="71"/>
        <v>6.3</v>
      </c>
      <c r="U61" s="224">
        <f t="shared" si="72"/>
        <v>9.2513994910941491E-2</v>
      </c>
      <c r="V61" s="224">
        <f t="shared" si="73"/>
        <v>0.21201123833757426</v>
      </c>
      <c r="W61" s="224">
        <f t="shared" si="74"/>
        <v>0.38841753588563227</v>
      </c>
      <c r="X61" s="204">
        <f t="shared" si="75"/>
        <v>350</v>
      </c>
      <c r="Y61" s="455">
        <f t="shared" si="47"/>
        <v>350</v>
      </c>
      <c r="AA61" s="224">
        <f t="shared" si="76"/>
        <v>0.44022823537648331</v>
      </c>
      <c r="AB61" s="180">
        <f t="shared" si="77"/>
        <v>1.8482864844050828</v>
      </c>
      <c r="AC61" s="180">
        <f t="shared" si="78"/>
        <v>0.28478376412494877</v>
      </c>
      <c r="AD61" s="180"/>
      <c r="AE61" s="180">
        <f t="shared" si="79"/>
        <v>1.217557251908397</v>
      </c>
      <c r="AF61" s="564">
        <f t="shared" si="108"/>
        <v>158.59907037077073</v>
      </c>
      <c r="AG61" s="547">
        <f t="shared" si="80"/>
        <v>0.1235820610687023</v>
      </c>
      <c r="AI61" s="180">
        <f t="shared" si="81"/>
        <v>0.20577520342216732</v>
      </c>
      <c r="AJ61" s="180">
        <f t="shared" si="82"/>
        <v>0.28999999999999998</v>
      </c>
      <c r="AK61" s="180">
        <f t="shared" si="83"/>
        <v>1.0906280402118691</v>
      </c>
      <c r="AM61" s="564">
        <f t="shared" si="84"/>
        <v>56.000000000000007</v>
      </c>
      <c r="AN61" s="473">
        <f t="shared" si="85"/>
        <v>158.59907037077073</v>
      </c>
      <c r="AP61">
        <f t="shared" si="86"/>
        <v>56.000000000000007</v>
      </c>
      <c r="AQ61">
        <f t="shared" si="87"/>
        <v>158.59907037077073</v>
      </c>
      <c r="AS61" s="5">
        <f t="shared" si="48"/>
        <v>6.3052071973827699</v>
      </c>
      <c r="AT61" s="5">
        <f t="shared" si="88"/>
        <v>0.6645833333333333</v>
      </c>
      <c r="AU61" s="5">
        <f t="shared" si="49"/>
        <v>5.6406238640494362</v>
      </c>
      <c r="AV61" s="5">
        <f t="shared" si="89"/>
        <v>1.217557251908397</v>
      </c>
      <c r="AW61" s="180">
        <f t="shared" si="50"/>
        <v>0.10540229885057471</v>
      </c>
      <c r="AX61" s="180">
        <f t="shared" si="90"/>
        <v>0.36680000000000001</v>
      </c>
      <c r="AY61" s="180">
        <f t="shared" si="91"/>
        <v>0.25943333333333329</v>
      </c>
      <c r="AZ61" s="180">
        <f t="shared" si="51"/>
        <v>1.4138507002441221</v>
      </c>
      <c r="BA61" s="473">
        <f t="shared" si="92"/>
        <v>0.59074074074074079</v>
      </c>
      <c r="BB61" s="5">
        <f t="shared" si="93"/>
        <v>7.6775158149561776E-2</v>
      </c>
      <c r="BC61" s="5"/>
      <c r="BD61" s="180">
        <f t="shared" si="52"/>
        <v>5.4357867671366376E-2</v>
      </c>
      <c r="BE61" s="180">
        <f t="shared" si="94"/>
        <v>0.31672420529890388</v>
      </c>
      <c r="BF61" s="180"/>
      <c r="BG61" s="547">
        <f t="shared" si="95"/>
        <v>1.0341722222222223E-3</v>
      </c>
      <c r="BH61" s="547">
        <f t="shared" si="96"/>
        <v>1.7063673981191223E-2</v>
      </c>
      <c r="BI61" s="547">
        <f t="shared" si="97"/>
        <v>1.9824883796346338E-3</v>
      </c>
      <c r="BJ61" s="547">
        <f t="shared" si="98"/>
        <v>1.2552097420819371E-2</v>
      </c>
      <c r="BK61">
        <f t="shared" si="99"/>
        <v>6.96E-3</v>
      </c>
      <c r="BL61" s="473">
        <f t="shared" si="53"/>
        <v>39.592432003867451</v>
      </c>
      <c r="BM61" s="547">
        <f t="shared" si="100"/>
        <v>1.9600000000000003E-2</v>
      </c>
      <c r="BN61" s="547"/>
      <c r="BP61" s="473">
        <f t="shared" si="55"/>
        <v>19.600000000000001</v>
      </c>
      <c r="BQ61" s="547">
        <f t="shared" si="101"/>
        <v>3.2502555555555555E-4</v>
      </c>
      <c r="BR61" s="547">
        <f t="shared" si="102"/>
        <v>3.5109977777777776E-3</v>
      </c>
      <c r="BS61" s="547">
        <f t="shared" si="103"/>
        <v>7.173260331487329E-4</v>
      </c>
      <c r="BT61" s="547">
        <f t="shared" si="104"/>
        <v>1.333818181818182E-2</v>
      </c>
      <c r="BU61" s="473">
        <f t="shared" si="56"/>
        <v>17.891531184663886</v>
      </c>
      <c r="BV61" s="180">
        <f t="shared" si="57"/>
        <v>7.7083963188531335E-2</v>
      </c>
      <c r="BW61" s="5">
        <f t="shared" si="58"/>
        <v>0.35280000000000006</v>
      </c>
      <c r="BX61" s="180">
        <f t="shared" si="59"/>
        <v>0.82068658105600201</v>
      </c>
      <c r="BY61" s="5">
        <f t="shared" si="60"/>
        <v>82.068658105600207</v>
      </c>
      <c r="CB61" s="582">
        <f t="shared" si="105"/>
        <v>-50</v>
      </c>
      <c r="CC61">
        <f t="shared" si="106"/>
        <v>-50</v>
      </c>
    </row>
    <row r="62" spans="5:81" x14ac:dyDescent="0.25">
      <c r="E62" s="177">
        <v>57</v>
      </c>
      <c r="F62" s="224">
        <f t="shared" si="107"/>
        <v>5.6999999999999995E-2</v>
      </c>
      <c r="G62" s="224"/>
      <c r="H62" s="224">
        <f t="shared" si="62"/>
        <v>0.35909999999999997</v>
      </c>
      <c r="I62" s="560">
        <f t="shared" si="63"/>
        <v>24</v>
      </c>
      <c r="J62" s="179">
        <f t="shared" si="64"/>
        <v>13.1</v>
      </c>
      <c r="K62" s="455">
        <f t="shared" si="65"/>
        <v>37.1</v>
      </c>
      <c r="L62" s="455"/>
      <c r="M62" s="224">
        <f t="shared" si="66"/>
        <v>0.35309973045822102</v>
      </c>
      <c r="N62" s="179">
        <f t="shared" si="5"/>
        <v>5.5295417789757408</v>
      </c>
      <c r="O62" s="179">
        <f t="shared" si="46"/>
        <v>0.35909999999999997</v>
      </c>
      <c r="P62" s="224">
        <f t="shared" si="67"/>
        <v>0.87770504428186369</v>
      </c>
      <c r="Q62" s="224">
        <f t="shared" si="68"/>
        <v>6.3</v>
      </c>
      <c r="R62" s="224">
        <f t="shared" si="69"/>
        <v>0.97522782697984844</v>
      </c>
      <c r="S62" s="179">
        <f t="shared" si="70"/>
        <v>262.7482490253135</v>
      </c>
      <c r="T62" s="179">
        <f t="shared" si="71"/>
        <v>6.3</v>
      </c>
      <c r="U62" s="224">
        <f t="shared" si="72"/>
        <v>9.4166030534351131E-2</v>
      </c>
      <c r="V62" s="224">
        <f t="shared" si="73"/>
        <v>0.21579715330788804</v>
      </c>
      <c r="W62" s="224">
        <f t="shared" si="74"/>
        <v>0.39535356331216132</v>
      </c>
      <c r="X62" s="204">
        <f t="shared" si="75"/>
        <v>350</v>
      </c>
      <c r="Y62" s="455">
        <f t="shared" si="47"/>
        <v>350</v>
      </c>
      <c r="AA62" s="224">
        <f t="shared" si="76"/>
        <v>0.44022823537648331</v>
      </c>
      <c r="AB62" s="180">
        <f t="shared" si="77"/>
        <v>1.8482864844050828</v>
      </c>
      <c r="AC62" s="180">
        <f t="shared" si="78"/>
        <v>0.28478376412494877</v>
      </c>
      <c r="AD62" s="180"/>
      <c r="AE62" s="180">
        <f t="shared" si="79"/>
        <v>1.217557251908397</v>
      </c>
      <c r="AF62" s="564">
        <f t="shared" si="108"/>
        <v>161.43119662739159</v>
      </c>
      <c r="AG62" s="547">
        <f t="shared" si="80"/>
        <v>0.1235820610687023</v>
      </c>
      <c r="AI62" s="180">
        <f t="shared" si="81"/>
        <v>0.20760435231364271</v>
      </c>
      <c r="AJ62" s="180">
        <f t="shared" si="82"/>
        <v>0.28999999999999998</v>
      </c>
      <c r="AK62" s="180">
        <f t="shared" si="83"/>
        <v>1.0922463980727952</v>
      </c>
      <c r="AM62" s="564">
        <f t="shared" si="84"/>
        <v>56.999999999999993</v>
      </c>
      <c r="AN62" s="473">
        <f t="shared" si="85"/>
        <v>161.43119662739159</v>
      </c>
      <c r="AP62">
        <f t="shared" si="86"/>
        <v>56.999999999999993</v>
      </c>
      <c r="AQ62">
        <f t="shared" si="87"/>
        <v>161.43119662739159</v>
      </c>
      <c r="AS62" s="5">
        <f t="shared" si="48"/>
        <v>6.1945895272532496</v>
      </c>
      <c r="AT62" s="5">
        <f t="shared" si="88"/>
        <v>0.6645833333333333</v>
      </c>
      <c r="AU62" s="5">
        <f t="shared" si="49"/>
        <v>5.5300061939199168</v>
      </c>
      <c r="AV62" s="5">
        <f t="shared" si="89"/>
        <v>1.217557251908397</v>
      </c>
      <c r="AW62" s="180">
        <f t="shared" si="50"/>
        <v>0.10728448275862065</v>
      </c>
      <c r="AX62" s="180">
        <f t="shared" si="90"/>
        <v>0.3733499999999999</v>
      </c>
      <c r="AY62" s="180">
        <f t="shared" si="91"/>
        <v>0.25888749999999999</v>
      </c>
      <c r="AZ62" s="180">
        <f t="shared" si="51"/>
        <v>1.4421322002800441</v>
      </c>
      <c r="BA62" s="473">
        <f t="shared" si="92"/>
        <v>0.60128968253968251</v>
      </c>
      <c r="BB62" s="5">
        <f t="shared" si="93"/>
        <v>7.6613627478265486E-2</v>
      </c>
      <c r="BC62" s="5"/>
      <c r="BD62" s="180">
        <f t="shared" si="52"/>
        <v>5.4841058219792453E-2</v>
      </c>
      <c r="BE62" s="180">
        <f t="shared" si="94"/>
        <v>0.31639084478958401</v>
      </c>
      <c r="BF62" s="180"/>
      <c r="BG62" s="547">
        <f t="shared" si="95"/>
        <v>1.0526395833333328E-3</v>
      </c>
      <c r="BH62" s="547">
        <f t="shared" si="96"/>
        <v>1.7368382445141065E-2</v>
      </c>
      <c r="BI62" s="547">
        <f t="shared" si="97"/>
        <v>2.0178899578423945E-3</v>
      </c>
      <c r="BJ62" s="547">
        <f t="shared" si="98"/>
        <v>1.2776242017619713E-2</v>
      </c>
      <c r="BK62">
        <f t="shared" si="99"/>
        <v>6.96E-3</v>
      </c>
      <c r="BL62" s="473">
        <f t="shared" si="53"/>
        <v>40.175154003936505</v>
      </c>
      <c r="BM62" s="547">
        <f t="shared" si="100"/>
        <v>1.9949999999999996E-2</v>
      </c>
      <c r="BN62" s="547"/>
      <c r="BP62" s="473">
        <f t="shared" si="55"/>
        <v>19.949999999999996</v>
      </c>
      <c r="BQ62" s="547">
        <f t="shared" si="101"/>
        <v>3.3082958333333318E-4</v>
      </c>
      <c r="BR62" s="547">
        <f t="shared" si="102"/>
        <v>3.5036108333333328E-3</v>
      </c>
      <c r="BS62" s="547">
        <f t="shared" si="103"/>
        <v>7.4977967632501369E-4</v>
      </c>
      <c r="BT62" s="547">
        <f t="shared" si="104"/>
        <v>1.3576363636363633E-2</v>
      </c>
      <c r="BU62" s="473">
        <f t="shared" si="56"/>
        <v>18.160583729355313</v>
      </c>
      <c r="BV62" s="180">
        <f t="shared" si="57"/>
        <v>7.8285737733291824E-2</v>
      </c>
      <c r="BW62" s="5">
        <f t="shared" si="58"/>
        <v>0.35909999999999997</v>
      </c>
      <c r="BX62" s="180">
        <f t="shared" si="59"/>
        <v>0.82101442507247746</v>
      </c>
      <c r="BY62" s="5">
        <f t="shared" si="60"/>
        <v>82.101442507247739</v>
      </c>
      <c r="CB62" s="582">
        <f t="shared" si="105"/>
        <v>-50</v>
      </c>
      <c r="CC62">
        <f t="shared" si="106"/>
        <v>-50</v>
      </c>
    </row>
    <row r="63" spans="5:81" x14ac:dyDescent="0.25">
      <c r="E63" s="177">
        <v>58</v>
      </c>
      <c r="F63" s="224">
        <f t="shared" si="107"/>
        <v>5.7999999999999996E-2</v>
      </c>
      <c r="G63" s="224"/>
      <c r="H63" s="224">
        <f t="shared" si="62"/>
        <v>0.36539999999999995</v>
      </c>
      <c r="I63" s="560">
        <f t="shared" si="63"/>
        <v>24</v>
      </c>
      <c r="J63" s="179">
        <f t="shared" si="64"/>
        <v>13.1</v>
      </c>
      <c r="K63" s="455">
        <f t="shared" si="65"/>
        <v>37.1</v>
      </c>
      <c r="L63" s="455"/>
      <c r="M63" s="224">
        <f t="shared" si="66"/>
        <v>0.35309973045822102</v>
      </c>
      <c r="N63" s="179">
        <f t="shared" si="5"/>
        <v>5.5295417789757408</v>
      </c>
      <c r="O63" s="179">
        <f t="shared" si="46"/>
        <v>0.36539999999999995</v>
      </c>
      <c r="P63" s="224">
        <f t="shared" si="67"/>
        <v>0.87770504428186369</v>
      </c>
      <c r="Q63" s="224">
        <f t="shared" si="68"/>
        <v>6.3</v>
      </c>
      <c r="R63" s="224">
        <f t="shared" si="69"/>
        <v>0.97522782697984844</v>
      </c>
      <c r="S63" s="179">
        <f t="shared" si="70"/>
        <v>258.01161612803702</v>
      </c>
      <c r="T63" s="179">
        <f t="shared" si="71"/>
        <v>6.3</v>
      </c>
      <c r="U63" s="224">
        <f t="shared" si="72"/>
        <v>9.5818066157760798E-2</v>
      </c>
      <c r="V63" s="224">
        <f t="shared" si="73"/>
        <v>0.21958306827820182</v>
      </c>
      <c r="W63" s="224">
        <f t="shared" si="74"/>
        <v>0.40228959073869036</v>
      </c>
      <c r="X63" s="204">
        <f t="shared" si="75"/>
        <v>350</v>
      </c>
      <c r="Y63" s="455">
        <f t="shared" si="47"/>
        <v>350</v>
      </c>
      <c r="AA63" s="224">
        <f t="shared" si="76"/>
        <v>0.44022823537648331</v>
      </c>
      <c r="AB63" s="180">
        <f t="shared" si="77"/>
        <v>1.8482864844050828</v>
      </c>
      <c r="AC63" s="180">
        <f t="shared" si="78"/>
        <v>0.28478376412494877</v>
      </c>
      <c r="AD63" s="180"/>
      <c r="AE63" s="180">
        <f t="shared" si="79"/>
        <v>1.217557251908397</v>
      </c>
      <c r="AF63" s="564">
        <f t="shared" si="108"/>
        <v>164.2633228840125</v>
      </c>
      <c r="AG63" s="547">
        <f t="shared" si="80"/>
        <v>0.1235820610687023</v>
      </c>
      <c r="AI63" s="180">
        <f t="shared" si="81"/>
        <v>0.20941752518760184</v>
      </c>
      <c r="AJ63" s="180">
        <f t="shared" si="82"/>
        <v>0.28999999999999998</v>
      </c>
      <c r="AK63" s="180">
        <f t="shared" si="83"/>
        <v>1.0938647559337213</v>
      </c>
      <c r="AM63" s="564">
        <f t="shared" si="84"/>
        <v>57.999999999999993</v>
      </c>
      <c r="AN63" s="473">
        <f t="shared" si="85"/>
        <v>164.2633228840125</v>
      </c>
      <c r="AP63">
        <f t="shared" si="86"/>
        <v>57.999999999999993</v>
      </c>
      <c r="AQ63">
        <f t="shared" si="87"/>
        <v>164.2633228840125</v>
      </c>
      <c r="AS63" s="5">
        <f t="shared" si="48"/>
        <v>6.0877862595419865</v>
      </c>
      <c r="AT63" s="5">
        <f t="shared" si="88"/>
        <v>0.6645833333333333</v>
      </c>
      <c r="AU63" s="5">
        <f t="shared" si="49"/>
        <v>5.4232029262086527</v>
      </c>
      <c r="AV63" s="5">
        <f t="shared" si="89"/>
        <v>1.217557251908397</v>
      </c>
      <c r="AW63" s="180">
        <f t="shared" si="50"/>
        <v>0.10916666666666663</v>
      </c>
      <c r="AX63" s="180">
        <f t="shared" si="90"/>
        <v>0.3798999999999999</v>
      </c>
      <c r="AY63" s="180">
        <f t="shared" si="91"/>
        <v>0.25834166666666664</v>
      </c>
      <c r="AZ63" s="180">
        <f t="shared" si="51"/>
        <v>1.4705332086061738</v>
      </c>
      <c r="BA63" s="473">
        <f t="shared" si="92"/>
        <v>0.61183862433862424</v>
      </c>
      <c r="BB63" s="5">
        <f t="shared" si="93"/>
        <v>7.6452096806969183E-2</v>
      </c>
      <c r="BC63" s="5"/>
      <c r="BD63" s="180">
        <f t="shared" si="52"/>
        <v>5.5320028520921376E-2</v>
      </c>
      <c r="BE63" s="180">
        <f t="shared" si="94"/>
        <v>0.31605713266925506</v>
      </c>
      <c r="BF63" s="180"/>
      <c r="BG63" s="547">
        <f t="shared" si="95"/>
        <v>1.0711069444444439E-3</v>
      </c>
      <c r="BH63" s="547">
        <f t="shared" si="96"/>
        <v>1.7673090909090906E-2</v>
      </c>
      <c r="BI63" s="547">
        <f t="shared" si="97"/>
        <v>2.0532915360501561E-3</v>
      </c>
      <c r="BJ63" s="547">
        <f t="shared" si="98"/>
        <v>1.3000386614420059E-2</v>
      </c>
      <c r="BK63">
        <f t="shared" si="99"/>
        <v>6.96E-3</v>
      </c>
      <c r="BL63" s="473">
        <f t="shared" si="53"/>
        <v>40.757876004005567</v>
      </c>
      <c r="BM63" s="547">
        <f t="shared" si="100"/>
        <v>2.0299999999999999E-2</v>
      </c>
      <c r="BN63" s="547"/>
      <c r="BP63" s="473">
        <f t="shared" si="55"/>
        <v>20.299999999999997</v>
      </c>
      <c r="BQ63" s="547">
        <f t="shared" si="101"/>
        <v>3.3663361111111096E-4</v>
      </c>
      <c r="BR63" s="547">
        <f t="shared" si="102"/>
        <v>3.4962238888888888E-3</v>
      </c>
      <c r="BS63" s="547">
        <f t="shared" si="103"/>
        <v>7.8309871062361906E-4</v>
      </c>
      <c r="BT63" s="547">
        <f t="shared" si="104"/>
        <v>1.3814545454545451E-2</v>
      </c>
      <c r="BU63" s="473">
        <f t="shared" si="56"/>
        <v>18.430501665169071</v>
      </c>
      <c r="BV63" s="180">
        <f t="shared" si="57"/>
        <v>7.9488377669174645E-2</v>
      </c>
      <c r="BW63" s="5">
        <f t="shared" si="58"/>
        <v>0.36539999999999995</v>
      </c>
      <c r="BX63" s="180">
        <f t="shared" si="59"/>
        <v>0.82132961511464042</v>
      </c>
      <c r="BY63" s="5">
        <f t="shared" si="60"/>
        <v>82.132961511464046</v>
      </c>
      <c r="CB63" s="582">
        <f t="shared" si="105"/>
        <v>-50</v>
      </c>
      <c r="CC63">
        <f t="shared" si="106"/>
        <v>-50</v>
      </c>
    </row>
    <row r="64" spans="5:81" x14ac:dyDescent="0.25">
      <c r="E64" s="177">
        <v>59</v>
      </c>
      <c r="F64" s="224">
        <f t="shared" si="107"/>
        <v>5.8999999999999997E-2</v>
      </c>
      <c r="G64" s="224"/>
      <c r="H64" s="224">
        <f t="shared" si="62"/>
        <v>0.37169999999999997</v>
      </c>
      <c r="I64" s="560">
        <f t="shared" si="63"/>
        <v>24</v>
      </c>
      <c r="J64" s="179">
        <f t="shared" si="64"/>
        <v>13.1</v>
      </c>
      <c r="K64" s="455">
        <f t="shared" si="65"/>
        <v>37.1</v>
      </c>
      <c r="L64" s="455"/>
      <c r="M64" s="224">
        <f t="shared" si="66"/>
        <v>0.35309973045822102</v>
      </c>
      <c r="N64" s="179">
        <f t="shared" si="5"/>
        <v>5.5295417789757408</v>
      </c>
      <c r="O64" s="179">
        <f t="shared" si="46"/>
        <v>0.37169999999999997</v>
      </c>
      <c r="P64" s="224">
        <f t="shared" si="67"/>
        <v>0.87770504428186369</v>
      </c>
      <c r="Q64" s="224">
        <f t="shared" si="68"/>
        <v>6.3</v>
      </c>
      <c r="R64" s="224">
        <f t="shared" si="69"/>
        <v>0.97522782697984844</v>
      </c>
      <c r="S64" s="179">
        <f t="shared" si="70"/>
        <v>253.43555447705123</v>
      </c>
      <c r="T64" s="179">
        <f t="shared" si="71"/>
        <v>6.3</v>
      </c>
      <c r="U64" s="224">
        <f t="shared" si="72"/>
        <v>9.7470101781170479E-2</v>
      </c>
      <c r="V64" s="224">
        <f t="shared" si="73"/>
        <v>0.22336898324851567</v>
      </c>
      <c r="W64" s="224">
        <f t="shared" si="74"/>
        <v>0.40922561816521957</v>
      </c>
      <c r="X64" s="204">
        <f t="shared" si="75"/>
        <v>350</v>
      </c>
      <c r="Y64" s="455">
        <f t="shared" si="47"/>
        <v>350</v>
      </c>
      <c r="AA64" s="224">
        <f t="shared" si="76"/>
        <v>0.44022823537648331</v>
      </c>
      <c r="AB64" s="180">
        <f t="shared" si="77"/>
        <v>1.8482864844050828</v>
      </c>
      <c r="AC64" s="180">
        <f t="shared" si="78"/>
        <v>0.28478376412494877</v>
      </c>
      <c r="AD64" s="180"/>
      <c r="AE64" s="180">
        <f t="shared" si="79"/>
        <v>1.217557251908397</v>
      </c>
      <c r="AF64" s="564">
        <f t="shared" si="108"/>
        <v>167.09544914063341</v>
      </c>
      <c r="AG64" s="547">
        <f t="shared" si="80"/>
        <v>0.1235820610687023</v>
      </c>
      <c r="AI64" s="180">
        <f t="shared" si="81"/>
        <v>0.21121513348203202</v>
      </c>
      <c r="AJ64" s="180">
        <f t="shared" si="82"/>
        <v>0.28999999999999998</v>
      </c>
      <c r="AK64" s="180">
        <f t="shared" si="83"/>
        <v>1.0954831137946477</v>
      </c>
      <c r="AM64" s="564">
        <f t="shared" si="84"/>
        <v>59</v>
      </c>
      <c r="AN64" s="473">
        <f t="shared" si="85"/>
        <v>167.09544914063341</v>
      </c>
      <c r="AP64">
        <f t="shared" si="86"/>
        <v>59</v>
      </c>
      <c r="AQ64">
        <f t="shared" si="87"/>
        <v>167.09544914063341</v>
      </c>
      <c r="AS64" s="5">
        <f t="shared" si="48"/>
        <v>5.9846034415836469</v>
      </c>
      <c r="AT64" s="5">
        <f t="shared" si="88"/>
        <v>0.6645833333333333</v>
      </c>
      <c r="AU64" s="5">
        <f t="shared" si="49"/>
        <v>5.3200201082503131</v>
      </c>
      <c r="AV64" s="5">
        <f t="shared" si="89"/>
        <v>1.217557251908397</v>
      </c>
      <c r="AW64" s="180">
        <f t="shared" si="50"/>
        <v>0.11104885057471263</v>
      </c>
      <c r="AX64" s="180">
        <f t="shared" si="90"/>
        <v>0.38644999999999996</v>
      </c>
      <c r="AY64" s="180">
        <f t="shared" si="91"/>
        <v>0.25779583333333334</v>
      </c>
      <c r="AZ64" s="180">
        <f t="shared" si="51"/>
        <v>1.4990544843303</v>
      </c>
      <c r="BA64" s="473">
        <f t="shared" si="92"/>
        <v>0.62238756613756618</v>
      </c>
      <c r="BB64" s="5">
        <f t="shared" si="93"/>
        <v>7.629056613567288E-2</v>
      </c>
      <c r="BC64" s="5"/>
      <c r="BD64" s="180">
        <f t="shared" si="52"/>
        <v>5.5794887260791591E-2</v>
      </c>
      <c r="BE64" s="180">
        <f t="shared" si="94"/>
        <v>0.31572306782298243</v>
      </c>
      <c r="BF64" s="180"/>
      <c r="BG64" s="547">
        <f t="shared" si="95"/>
        <v>1.0895743055555553E-3</v>
      </c>
      <c r="BH64" s="547">
        <f t="shared" si="96"/>
        <v>1.797779937304075E-2</v>
      </c>
      <c r="BI64" s="547">
        <f t="shared" si="97"/>
        <v>2.0886931142579173E-3</v>
      </c>
      <c r="BJ64" s="547">
        <f t="shared" si="98"/>
        <v>1.3224531211220407E-2</v>
      </c>
      <c r="BK64">
        <f t="shared" si="99"/>
        <v>6.96E-3</v>
      </c>
      <c r="BL64" s="473">
        <f t="shared" si="53"/>
        <v>41.340598004074629</v>
      </c>
      <c r="BM64" s="547">
        <f t="shared" si="100"/>
        <v>2.0649999999999998E-2</v>
      </c>
      <c r="BN64" s="547"/>
      <c r="BP64" s="473">
        <f t="shared" si="55"/>
        <v>20.65</v>
      </c>
      <c r="BQ64" s="547">
        <f t="shared" si="101"/>
        <v>3.4243763888888886E-4</v>
      </c>
      <c r="BR64" s="547">
        <f t="shared" si="102"/>
        <v>3.4888369444444449E-3</v>
      </c>
      <c r="BS64" s="547">
        <f t="shared" si="103"/>
        <v>8.1729069438048825E-4</v>
      </c>
      <c r="BT64" s="547">
        <f t="shared" si="104"/>
        <v>1.4052727272727271E-2</v>
      </c>
      <c r="BU64" s="473">
        <f t="shared" si="56"/>
        <v>18.701292550441092</v>
      </c>
      <c r="BV64" s="180">
        <f t="shared" si="57"/>
        <v>8.0691890554515713E-2</v>
      </c>
      <c r="BW64" s="5">
        <f t="shared" si="58"/>
        <v>0.37169999999999997</v>
      </c>
      <c r="BX64" s="180">
        <f t="shared" si="59"/>
        <v>0.82163276522130346</v>
      </c>
      <c r="BY64" s="5">
        <f t="shared" si="60"/>
        <v>82.163276522130346</v>
      </c>
      <c r="CB64" s="582">
        <f t="shared" si="105"/>
        <v>-50</v>
      </c>
      <c r="CC64">
        <f t="shared" si="106"/>
        <v>-50</v>
      </c>
    </row>
    <row r="65" spans="5:81" x14ac:dyDescent="0.25">
      <c r="E65" s="177">
        <v>60</v>
      </c>
      <c r="F65" s="224">
        <f t="shared" si="107"/>
        <v>0.06</v>
      </c>
      <c r="G65" s="224"/>
      <c r="H65" s="224">
        <f t="shared" si="62"/>
        <v>0.378</v>
      </c>
      <c r="I65" s="560">
        <f t="shared" si="63"/>
        <v>24</v>
      </c>
      <c r="J65" s="179">
        <f t="shared" si="64"/>
        <v>13.1</v>
      </c>
      <c r="K65" s="455">
        <f t="shared" si="65"/>
        <v>37.1</v>
      </c>
      <c r="L65" s="455"/>
      <c r="M65" s="224">
        <f t="shared" si="66"/>
        <v>0.35309973045822102</v>
      </c>
      <c r="N65" s="179">
        <f t="shared" si="5"/>
        <v>5.5295417789757408</v>
      </c>
      <c r="O65" s="179">
        <f t="shared" si="46"/>
        <v>0.378</v>
      </c>
      <c r="P65" s="224">
        <f t="shared" si="67"/>
        <v>0.87770504428186369</v>
      </c>
      <c r="Q65" s="224">
        <f t="shared" si="68"/>
        <v>6.3</v>
      </c>
      <c r="R65" s="224">
        <f t="shared" si="69"/>
        <v>0.97522782697984844</v>
      </c>
      <c r="S65" s="179">
        <f t="shared" si="70"/>
        <v>249.01203552716578</v>
      </c>
      <c r="T65" s="179">
        <f t="shared" si="71"/>
        <v>6.3</v>
      </c>
      <c r="U65" s="224">
        <f t="shared" si="72"/>
        <v>9.9122137404580146E-2</v>
      </c>
      <c r="V65" s="224">
        <f t="shared" si="73"/>
        <v>0.2271548982188295</v>
      </c>
      <c r="W65" s="224">
        <f t="shared" si="74"/>
        <v>0.41616164559174873</v>
      </c>
      <c r="X65" s="204">
        <f t="shared" si="75"/>
        <v>350</v>
      </c>
      <c r="Y65" s="455">
        <f t="shared" si="47"/>
        <v>350</v>
      </c>
      <c r="AA65" s="224">
        <f t="shared" si="76"/>
        <v>0.44022823537648331</v>
      </c>
      <c r="AB65" s="180">
        <f t="shared" si="77"/>
        <v>1.8482864844050828</v>
      </c>
      <c r="AC65" s="180">
        <f t="shared" si="78"/>
        <v>0.28478376412494877</v>
      </c>
      <c r="AD65" s="180"/>
      <c r="AE65" s="180">
        <f t="shared" si="79"/>
        <v>1.217557251908397</v>
      </c>
      <c r="AF65" s="564">
        <f t="shared" si="108"/>
        <v>169.92757539725432</v>
      </c>
      <c r="AG65" s="547">
        <f t="shared" si="80"/>
        <v>0.1235820610687023</v>
      </c>
      <c r="AI65" s="180">
        <f t="shared" si="81"/>
        <v>0.21299757127245691</v>
      </c>
      <c r="AJ65" s="180">
        <f t="shared" si="82"/>
        <v>0.28999999999999998</v>
      </c>
      <c r="AK65" s="180">
        <f t="shared" si="83"/>
        <v>1.0971014716555738</v>
      </c>
      <c r="AM65" s="564">
        <f t="shared" si="84"/>
        <v>60</v>
      </c>
      <c r="AN65" s="473">
        <f t="shared" si="85"/>
        <v>169.92757539725432</v>
      </c>
      <c r="AP65">
        <f t="shared" si="86"/>
        <v>60</v>
      </c>
      <c r="AQ65">
        <f t="shared" si="87"/>
        <v>169.92757539725432</v>
      </c>
      <c r="AS65" s="5">
        <f t="shared" si="48"/>
        <v>5.8848600508905866</v>
      </c>
      <c r="AT65" s="5">
        <f t="shared" si="88"/>
        <v>0.6645833333333333</v>
      </c>
      <c r="AU65" s="5">
        <f t="shared" si="49"/>
        <v>5.2202767175572529</v>
      </c>
      <c r="AV65" s="5">
        <f t="shared" si="89"/>
        <v>1.217557251908397</v>
      </c>
      <c r="AW65" s="180">
        <f t="shared" si="50"/>
        <v>0.11293103448275858</v>
      </c>
      <c r="AX65" s="180">
        <f t="shared" si="90"/>
        <v>0.3929999999999999</v>
      </c>
      <c r="AY65" s="180">
        <f t="shared" si="91"/>
        <v>0.25724999999999998</v>
      </c>
      <c r="AZ65" s="180">
        <f t="shared" si="51"/>
        <v>1.5276967930029153</v>
      </c>
      <c r="BA65" s="473">
        <f t="shared" si="92"/>
        <v>0.6329365079365078</v>
      </c>
      <c r="BB65" s="5">
        <f t="shared" si="93"/>
        <v>7.612903546437659E-2</v>
      </c>
      <c r="BC65" s="5"/>
      <c r="BD65" s="180">
        <f t="shared" si="52"/>
        <v>5.6265738538948652E-2</v>
      </c>
      <c r="BE65" s="180">
        <f t="shared" si="94"/>
        <v>0.31538864912992665</v>
      </c>
      <c r="BF65" s="180"/>
      <c r="BG65" s="547">
        <f t="shared" si="95"/>
        <v>1.108041666666666E-3</v>
      </c>
      <c r="BH65" s="547">
        <f t="shared" si="96"/>
        <v>1.8282507836990591E-2</v>
      </c>
      <c r="BI65" s="547">
        <f t="shared" si="97"/>
        <v>2.1240946924656785E-3</v>
      </c>
      <c r="BJ65" s="547">
        <f t="shared" si="98"/>
        <v>1.3448675808020753E-2</v>
      </c>
      <c r="BK65">
        <f t="shared" si="99"/>
        <v>6.96E-3</v>
      </c>
      <c r="BL65" s="473">
        <f t="shared" si="53"/>
        <v>41.92332000414369</v>
      </c>
      <c r="BM65" s="547">
        <f t="shared" si="100"/>
        <v>2.0999999999999998E-2</v>
      </c>
      <c r="BN65" s="547"/>
      <c r="BP65" s="473">
        <f t="shared" si="55"/>
        <v>20.999999999999996</v>
      </c>
      <c r="BQ65" s="547">
        <f t="shared" si="101"/>
        <v>3.4824166666666648E-4</v>
      </c>
      <c r="BR65" s="547">
        <f t="shared" si="102"/>
        <v>3.4814499999999996E-3</v>
      </c>
      <c r="BS65" s="547">
        <f t="shared" si="103"/>
        <v>8.5236312104473974E-4</v>
      </c>
      <c r="BT65" s="547">
        <f t="shared" si="104"/>
        <v>1.4290909090909088E-2</v>
      </c>
      <c r="BU65" s="473">
        <f t="shared" si="56"/>
        <v>18.972963878620494</v>
      </c>
      <c r="BV65" s="180">
        <f t="shared" si="57"/>
        <v>8.1896283882764181E-2</v>
      </c>
      <c r="BW65" s="5">
        <f t="shared" si="58"/>
        <v>0.378</v>
      </c>
      <c r="BX65" s="180">
        <f t="shared" si="59"/>
        <v>0.82192444959254984</v>
      </c>
      <c r="BY65" s="5">
        <f t="shared" si="60"/>
        <v>82.192444959254985</v>
      </c>
      <c r="CB65" s="582">
        <f t="shared" si="105"/>
        <v>-50</v>
      </c>
      <c r="CC65">
        <f t="shared" si="106"/>
        <v>-50</v>
      </c>
    </row>
    <row r="66" spans="5:81" x14ac:dyDescent="0.25">
      <c r="E66" s="177">
        <v>61</v>
      </c>
      <c r="F66" s="224">
        <f t="shared" si="107"/>
        <v>6.0999999999999999E-2</v>
      </c>
      <c r="G66" s="224"/>
      <c r="H66" s="224">
        <f t="shared" si="62"/>
        <v>0.38429999999999997</v>
      </c>
      <c r="I66" s="560">
        <f t="shared" si="63"/>
        <v>24</v>
      </c>
      <c r="J66" s="179">
        <f t="shared" si="64"/>
        <v>13.1</v>
      </c>
      <c r="K66" s="455">
        <f t="shared" si="65"/>
        <v>37.1</v>
      </c>
      <c r="L66" s="455"/>
      <c r="M66" s="224">
        <f t="shared" si="66"/>
        <v>0.35309973045822102</v>
      </c>
      <c r="N66" s="179">
        <f t="shared" si="5"/>
        <v>5.5295417789757408</v>
      </c>
      <c r="O66" s="179">
        <f t="shared" si="46"/>
        <v>0.38429999999999997</v>
      </c>
      <c r="P66" s="224">
        <f t="shared" si="67"/>
        <v>0.87770504428186369</v>
      </c>
      <c r="Q66" s="224">
        <f t="shared" si="68"/>
        <v>6.3</v>
      </c>
      <c r="R66" s="224">
        <f t="shared" si="69"/>
        <v>0.97522782697984844</v>
      </c>
      <c r="S66" s="179">
        <f t="shared" si="70"/>
        <v>244.73355719522198</v>
      </c>
      <c r="T66" s="179">
        <f t="shared" si="71"/>
        <v>6.3</v>
      </c>
      <c r="U66" s="224">
        <f t="shared" si="72"/>
        <v>0.10077417302798981</v>
      </c>
      <c r="V66" s="224">
        <f t="shared" si="73"/>
        <v>0.23094081318914331</v>
      </c>
      <c r="W66" s="224">
        <f t="shared" si="74"/>
        <v>0.42309767301827783</v>
      </c>
      <c r="X66" s="204">
        <f t="shared" si="75"/>
        <v>350</v>
      </c>
      <c r="Y66" s="455">
        <f t="shared" si="47"/>
        <v>350</v>
      </c>
      <c r="AA66" s="224">
        <f t="shared" si="76"/>
        <v>0.44022823537648331</v>
      </c>
      <c r="AB66" s="180">
        <f t="shared" si="77"/>
        <v>1.8482864844050828</v>
      </c>
      <c r="AC66" s="180">
        <f t="shared" si="78"/>
        <v>0.28478376412494877</v>
      </c>
      <c r="AD66" s="180"/>
      <c r="AE66" s="180">
        <f t="shared" si="79"/>
        <v>1.217557251908397</v>
      </c>
      <c r="AF66" s="564">
        <f t="shared" si="108"/>
        <v>172.75970165387523</v>
      </c>
      <c r="AG66" s="547">
        <f t="shared" si="80"/>
        <v>0.1235820610687023</v>
      </c>
      <c r="AI66" s="180">
        <f t="shared" si="81"/>
        <v>0.21476521628070527</v>
      </c>
      <c r="AJ66" s="180">
        <f t="shared" si="82"/>
        <v>0.28999999999999998</v>
      </c>
      <c r="AK66" s="180">
        <f t="shared" si="83"/>
        <v>1.0987198295165002</v>
      </c>
      <c r="AM66" s="564">
        <f t="shared" si="84"/>
        <v>61</v>
      </c>
      <c r="AN66" s="473">
        <f t="shared" si="85"/>
        <v>172.75970165387523</v>
      </c>
      <c r="AP66">
        <f t="shared" si="86"/>
        <v>61</v>
      </c>
      <c r="AQ66">
        <f t="shared" si="87"/>
        <v>172.75970165387523</v>
      </c>
      <c r="AS66" s="5">
        <f t="shared" si="48"/>
        <v>5.7883869353022162</v>
      </c>
      <c r="AT66" s="5">
        <f t="shared" si="88"/>
        <v>0.6645833333333333</v>
      </c>
      <c r="AU66" s="5">
        <f t="shared" si="49"/>
        <v>5.1238036019688824</v>
      </c>
      <c r="AV66" s="5">
        <f t="shared" si="89"/>
        <v>1.217557251908397</v>
      </c>
      <c r="AW66" s="180">
        <f t="shared" si="50"/>
        <v>0.11481321839080456</v>
      </c>
      <c r="AX66" s="180">
        <f t="shared" si="90"/>
        <v>0.39954999999999991</v>
      </c>
      <c r="AY66" s="180">
        <f t="shared" si="91"/>
        <v>0.25670416666666662</v>
      </c>
      <c r="AZ66" s="180">
        <f t="shared" si="51"/>
        <v>1.5564609066857114</v>
      </c>
      <c r="BA66" s="473">
        <f t="shared" si="92"/>
        <v>0.64348544973544963</v>
      </c>
      <c r="BB66" s="5">
        <f t="shared" si="93"/>
        <v>7.5967504793080273E-2</v>
      </c>
      <c r="BC66" s="5"/>
      <c r="BD66" s="180">
        <f t="shared" si="52"/>
        <v>5.6732682134923086E-2</v>
      </c>
      <c r="BE66" s="180">
        <f t="shared" si="94"/>
        <v>0.31505387546329983</v>
      </c>
      <c r="BF66" s="180"/>
      <c r="BG66" s="547">
        <f t="shared" si="95"/>
        <v>1.1265090277777774E-3</v>
      </c>
      <c r="BH66" s="547">
        <f t="shared" si="96"/>
        <v>1.8587216300940436E-2</v>
      </c>
      <c r="BI66" s="547">
        <f t="shared" si="97"/>
        <v>2.1594962706734406E-3</v>
      </c>
      <c r="BJ66" s="547">
        <f t="shared" si="98"/>
        <v>1.3672820404821099E-2</v>
      </c>
      <c r="BK66">
        <f t="shared" si="99"/>
        <v>6.96E-3</v>
      </c>
      <c r="BL66" s="473">
        <f t="shared" si="53"/>
        <v>42.506042004212759</v>
      </c>
      <c r="BM66" s="547">
        <f t="shared" si="100"/>
        <v>2.1349999999999997E-2</v>
      </c>
      <c r="BN66" s="547"/>
      <c r="BP66" s="473">
        <f t="shared" si="55"/>
        <v>21.349999999999998</v>
      </c>
      <c r="BQ66" s="547">
        <f t="shared" si="101"/>
        <v>3.5404569444444432E-4</v>
      </c>
      <c r="BR66" s="547">
        <f t="shared" si="102"/>
        <v>3.4740630555555557E-3</v>
      </c>
      <c r="BS66" s="547">
        <f t="shared" si="103"/>
        <v>8.8832342082171883E-4</v>
      </c>
      <c r="BT66" s="547">
        <f t="shared" si="104"/>
        <v>1.4529090909090908E-2</v>
      </c>
      <c r="BU66" s="473">
        <f t="shared" si="56"/>
        <v>19.245523079912626</v>
      </c>
      <c r="BV66" s="180">
        <f t="shared" si="57"/>
        <v>8.3101565084125389E-2</v>
      </c>
      <c r="BW66" s="5">
        <f t="shared" si="58"/>
        <v>0.38429999999999997</v>
      </c>
      <c r="BX66" s="180">
        <f t="shared" si="59"/>
        <v>0.82220520577596201</v>
      </c>
      <c r="BY66" s="5">
        <f t="shared" si="60"/>
        <v>82.220520577596204</v>
      </c>
      <c r="CB66" s="582">
        <f t="shared" si="105"/>
        <v>-50</v>
      </c>
      <c r="CC66">
        <f t="shared" si="106"/>
        <v>-50</v>
      </c>
    </row>
    <row r="67" spans="5:81" x14ac:dyDescent="0.25">
      <c r="E67" s="177">
        <v>62</v>
      </c>
      <c r="F67" s="224">
        <f t="shared" si="107"/>
        <v>6.2E-2</v>
      </c>
      <c r="G67" s="224"/>
      <c r="H67" s="224">
        <f t="shared" si="62"/>
        <v>0.3906</v>
      </c>
      <c r="I67" s="560">
        <f t="shared" si="63"/>
        <v>24</v>
      </c>
      <c r="J67" s="179">
        <f t="shared" si="64"/>
        <v>13.1</v>
      </c>
      <c r="K67" s="455">
        <f t="shared" si="65"/>
        <v>37.1</v>
      </c>
      <c r="L67" s="455"/>
      <c r="M67" s="224">
        <f t="shared" si="66"/>
        <v>0.35309973045822102</v>
      </c>
      <c r="N67" s="179">
        <f t="shared" si="5"/>
        <v>5.5295417789757408</v>
      </c>
      <c r="O67" s="179">
        <f t="shared" si="46"/>
        <v>0.3906</v>
      </c>
      <c r="P67" s="224">
        <f t="shared" si="67"/>
        <v>0.87770504428186369</v>
      </c>
      <c r="Q67" s="224">
        <f t="shared" si="68"/>
        <v>6.3</v>
      </c>
      <c r="R67" s="224">
        <f t="shared" si="69"/>
        <v>0.97522782697984844</v>
      </c>
      <c r="S67" s="179">
        <f t="shared" si="70"/>
        <v>240.59310140347674</v>
      </c>
      <c r="T67" s="179">
        <f t="shared" si="71"/>
        <v>6.3</v>
      </c>
      <c r="U67" s="224">
        <f t="shared" si="72"/>
        <v>0.10242620865139948</v>
      </c>
      <c r="V67" s="224">
        <f t="shared" si="73"/>
        <v>0.23472672815945717</v>
      </c>
      <c r="W67" s="224">
        <f t="shared" si="74"/>
        <v>0.43003370044480704</v>
      </c>
      <c r="X67" s="204">
        <f t="shared" si="75"/>
        <v>350</v>
      </c>
      <c r="Y67" s="455">
        <f t="shared" si="47"/>
        <v>350</v>
      </c>
      <c r="AA67" s="224">
        <f t="shared" si="76"/>
        <v>0.44022823537648331</v>
      </c>
      <c r="AB67" s="180">
        <f t="shared" si="77"/>
        <v>1.8482864844050828</v>
      </c>
      <c r="AC67" s="180">
        <f t="shared" si="78"/>
        <v>0.28478376412494877</v>
      </c>
      <c r="AD67" s="180"/>
      <c r="AE67" s="180">
        <f t="shared" si="79"/>
        <v>1.217557251908397</v>
      </c>
      <c r="AF67" s="564">
        <f t="shared" si="108"/>
        <v>175.59182791049614</v>
      </c>
      <c r="AG67" s="547">
        <f t="shared" si="80"/>
        <v>0.1235820610687023</v>
      </c>
      <c r="AI67" s="180">
        <f t="shared" si="81"/>
        <v>0.21651843080955227</v>
      </c>
      <c r="AJ67" s="180">
        <f t="shared" si="82"/>
        <v>0.28999999999999998</v>
      </c>
      <c r="AK67" s="180">
        <f t="shared" si="83"/>
        <v>1.1003381873774263</v>
      </c>
      <c r="AM67" s="564">
        <f t="shared" si="84"/>
        <v>62</v>
      </c>
      <c r="AN67" s="473">
        <f t="shared" si="85"/>
        <v>175.59182791049614</v>
      </c>
      <c r="AP67">
        <f t="shared" si="86"/>
        <v>62</v>
      </c>
      <c r="AQ67">
        <f t="shared" si="87"/>
        <v>175.59182791049614</v>
      </c>
      <c r="AS67" s="5">
        <f t="shared" si="48"/>
        <v>5.6950258557005675</v>
      </c>
      <c r="AT67" s="5">
        <f t="shared" si="88"/>
        <v>0.6645833333333333</v>
      </c>
      <c r="AU67" s="5">
        <f t="shared" si="49"/>
        <v>5.0304425223672347</v>
      </c>
      <c r="AV67" s="5">
        <f t="shared" si="89"/>
        <v>1.217557251908397</v>
      </c>
      <c r="AW67" s="180">
        <f t="shared" si="50"/>
        <v>0.11669540229885055</v>
      </c>
      <c r="AX67" s="180">
        <f t="shared" si="90"/>
        <v>0.40609999999999996</v>
      </c>
      <c r="AY67" s="180">
        <f t="shared" si="91"/>
        <v>0.25615833333333332</v>
      </c>
      <c r="AZ67" s="180">
        <f t="shared" si="51"/>
        <v>1.5853476040209504</v>
      </c>
      <c r="BA67" s="473">
        <f t="shared" si="92"/>
        <v>0.65403439153439158</v>
      </c>
      <c r="BB67" s="5">
        <f t="shared" si="93"/>
        <v>7.5805974121784012E-2</v>
      </c>
      <c r="BC67" s="5"/>
      <c r="BD67" s="180">
        <f t="shared" si="52"/>
        <v>5.7195813755126432E-2</v>
      </c>
      <c r="BE67" s="180">
        <f t="shared" si="94"/>
        <v>0.31471874569032088</v>
      </c>
      <c r="BF67" s="180"/>
      <c r="BG67" s="547">
        <f t="shared" si="95"/>
        <v>1.1449763888888883E-3</v>
      </c>
      <c r="BH67" s="547">
        <f t="shared" si="96"/>
        <v>1.889192476489028E-2</v>
      </c>
      <c r="BI67" s="547">
        <f t="shared" si="97"/>
        <v>2.1948978488812018E-3</v>
      </c>
      <c r="BJ67" s="547">
        <f t="shared" si="98"/>
        <v>1.3896965001621445E-2</v>
      </c>
      <c r="BK67">
        <f t="shared" si="99"/>
        <v>6.96E-3</v>
      </c>
      <c r="BL67" s="473">
        <f t="shared" si="53"/>
        <v>43.088764004281821</v>
      </c>
      <c r="BM67" s="547">
        <f t="shared" si="100"/>
        <v>2.1699999999999997E-2</v>
      </c>
      <c r="BN67" s="547"/>
      <c r="BP67" s="473">
        <f t="shared" si="55"/>
        <v>21.699999999999996</v>
      </c>
      <c r="BQ67" s="547">
        <f t="shared" si="101"/>
        <v>3.5984972222222211E-4</v>
      </c>
      <c r="BR67" s="547">
        <f t="shared" si="102"/>
        <v>3.4666761111111105E-3</v>
      </c>
      <c r="BS67" s="547">
        <f t="shared" si="103"/>
        <v>9.2517896224784447E-4</v>
      </c>
      <c r="BT67" s="547">
        <f t="shared" si="104"/>
        <v>1.4767272727272726E-2</v>
      </c>
      <c r="BU67" s="473">
        <f t="shared" si="56"/>
        <v>19.518977522853902</v>
      </c>
      <c r="BV67" s="180">
        <f t="shared" si="57"/>
        <v>8.4307741527135729E-2</v>
      </c>
      <c r="BW67" s="5">
        <f t="shared" si="58"/>
        <v>0.3906</v>
      </c>
      <c r="BX67" s="180">
        <f t="shared" si="59"/>
        <v>0.8224755375517111</v>
      </c>
      <c r="BY67" s="5">
        <f t="shared" si="60"/>
        <v>82.247553755171111</v>
      </c>
      <c r="CB67" s="582">
        <f t="shared" si="105"/>
        <v>-50</v>
      </c>
      <c r="CC67">
        <f t="shared" si="106"/>
        <v>-50</v>
      </c>
    </row>
    <row r="68" spans="5:81" x14ac:dyDescent="0.25">
      <c r="E68" s="177">
        <v>63</v>
      </c>
      <c r="F68" s="224">
        <f t="shared" si="107"/>
        <v>6.3E-2</v>
      </c>
      <c r="G68" s="224"/>
      <c r="H68" s="224">
        <f t="shared" si="62"/>
        <v>0.39689999999999998</v>
      </c>
      <c r="I68" s="560">
        <f t="shared" si="63"/>
        <v>24</v>
      </c>
      <c r="J68" s="179">
        <f t="shared" si="64"/>
        <v>13.1</v>
      </c>
      <c r="K68" s="455">
        <f t="shared" si="65"/>
        <v>37.1</v>
      </c>
      <c r="L68" s="455"/>
      <c r="M68" s="224">
        <f t="shared" si="66"/>
        <v>0.35309973045822102</v>
      </c>
      <c r="N68" s="179">
        <f t="shared" si="5"/>
        <v>5.5295417789757408</v>
      </c>
      <c r="O68" s="179">
        <f t="shared" si="46"/>
        <v>0.39689999999999998</v>
      </c>
      <c r="P68" s="224">
        <f t="shared" si="67"/>
        <v>0.87770504428186369</v>
      </c>
      <c r="Q68" s="224">
        <f t="shared" si="68"/>
        <v>6.3</v>
      </c>
      <c r="R68" s="224">
        <f t="shared" si="69"/>
        <v>0.97522782697984844</v>
      </c>
      <c r="S68" s="179">
        <f t="shared" si="70"/>
        <v>236.58409566647487</v>
      </c>
      <c r="T68" s="179">
        <f t="shared" si="71"/>
        <v>6.3</v>
      </c>
      <c r="U68" s="224">
        <f t="shared" si="72"/>
        <v>0.10407824427480915</v>
      </c>
      <c r="V68" s="224">
        <f t="shared" si="73"/>
        <v>0.23851264312977094</v>
      </c>
      <c r="W68" s="224">
        <f t="shared" si="74"/>
        <v>0.43696972787133609</v>
      </c>
      <c r="X68" s="204">
        <f t="shared" si="75"/>
        <v>350</v>
      </c>
      <c r="Y68" s="455">
        <f t="shared" si="47"/>
        <v>350</v>
      </c>
      <c r="AA68" s="224">
        <f t="shared" si="76"/>
        <v>0.44022823537648331</v>
      </c>
      <c r="AB68" s="180">
        <f t="shared" si="77"/>
        <v>1.8482864844050828</v>
      </c>
      <c r="AC68" s="180">
        <f t="shared" si="78"/>
        <v>0.28478376412494877</v>
      </c>
      <c r="AD68" s="180"/>
      <c r="AE68" s="180">
        <f t="shared" si="79"/>
        <v>1.217557251908397</v>
      </c>
      <c r="AF68" s="564">
        <f t="shared" si="108"/>
        <v>178.42395416711705</v>
      </c>
      <c r="AG68" s="547">
        <f t="shared" si="80"/>
        <v>0.1235820610687023</v>
      </c>
      <c r="AI68" s="180">
        <f t="shared" si="81"/>
        <v>0.21825756260978363</v>
      </c>
      <c r="AJ68" s="180">
        <f t="shared" si="82"/>
        <v>0.28999999999999998</v>
      </c>
      <c r="AK68" s="180">
        <f t="shared" si="83"/>
        <v>1.1019565452383526</v>
      </c>
      <c r="AM68" s="564">
        <f t="shared" si="84"/>
        <v>63</v>
      </c>
      <c r="AN68" s="473">
        <f t="shared" si="85"/>
        <v>178.42395416711705</v>
      </c>
      <c r="AP68">
        <f t="shared" si="86"/>
        <v>63</v>
      </c>
      <c r="AQ68">
        <f t="shared" si="87"/>
        <v>178.42395416711705</v>
      </c>
      <c r="AS68" s="5">
        <f t="shared" si="48"/>
        <v>5.6046286198957969</v>
      </c>
      <c r="AT68" s="5">
        <f t="shared" si="88"/>
        <v>0.6645833333333333</v>
      </c>
      <c r="AU68" s="5">
        <f t="shared" si="49"/>
        <v>4.940045286562464</v>
      </c>
      <c r="AV68" s="5">
        <f t="shared" si="89"/>
        <v>1.217557251908397</v>
      </c>
      <c r="AW68" s="180">
        <f t="shared" si="50"/>
        <v>0.11857758620689651</v>
      </c>
      <c r="AX68" s="180">
        <f t="shared" si="90"/>
        <v>0.41264999999999996</v>
      </c>
      <c r="AY68" s="180">
        <f t="shared" si="91"/>
        <v>0.25561250000000002</v>
      </c>
      <c r="AZ68" s="180">
        <f t="shared" si="51"/>
        <v>1.6143576703017259</v>
      </c>
      <c r="BA68" s="473">
        <f t="shared" si="92"/>
        <v>0.6645833333333333</v>
      </c>
      <c r="BB68" s="5">
        <f t="shared" si="93"/>
        <v>7.5644443450487722E-2</v>
      </c>
      <c r="BC68" s="5"/>
      <c r="BD68" s="180">
        <f t="shared" si="52"/>
        <v>5.7655225261896238E-2</v>
      </c>
      <c r="BE68" s="180">
        <f t="shared" si="94"/>
        <v>0.31438325867217126</v>
      </c>
      <c r="BF68" s="180"/>
      <c r="BG68" s="547">
        <f t="shared" si="95"/>
        <v>1.1634437499999993E-3</v>
      </c>
      <c r="BH68" s="547">
        <f t="shared" si="96"/>
        <v>1.9196633228840122E-2</v>
      </c>
      <c r="BI68" s="547">
        <f t="shared" si="97"/>
        <v>2.230299427088963E-3</v>
      </c>
      <c r="BJ68" s="547">
        <f t="shared" si="98"/>
        <v>1.4121109598421791E-2</v>
      </c>
      <c r="BK68">
        <f t="shared" si="99"/>
        <v>6.96E-3</v>
      </c>
      <c r="BL68" s="473">
        <f t="shared" si="53"/>
        <v>43.671486004350875</v>
      </c>
      <c r="BM68" s="547">
        <f t="shared" si="100"/>
        <v>2.205E-2</v>
      </c>
      <c r="BN68" s="547"/>
      <c r="BP68" s="473">
        <f t="shared" si="55"/>
        <v>22.05</v>
      </c>
      <c r="BQ68" s="547">
        <f t="shared" si="101"/>
        <v>3.6565374999999979E-4</v>
      </c>
      <c r="BR68" s="547">
        <f t="shared" si="102"/>
        <v>3.4592891666666674E-3</v>
      </c>
      <c r="BS68" s="547">
        <f t="shared" si="103"/>
        <v>9.6293705370117889E-4</v>
      </c>
      <c r="BT68" s="547">
        <f t="shared" si="104"/>
        <v>1.5005454545454546E-2</v>
      </c>
      <c r="BU68" s="473">
        <f t="shared" si="56"/>
        <v>19.793334515822391</v>
      </c>
      <c r="BV68" s="180">
        <f t="shared" si="57"/>
        <v>8.5514820520173271E-2</v>
      </c>
      <c r="BW68" s="5">
        <f t="shared" si="58"/>
        <v>0.39689999999999998</v>
      </c>
      <c r="BX68" s="180">
        <f t="shared" si="59"/>
        <v>0.82273591754920539</v>
      </c>
      <c r="BY68" s="5">
        <f t="shared" si="60"/>
        <v>82.273591754920545</v>
      </c>
      <c r="CB68" s="582">
        <f t="shared" si="105"/>
        <v>-50</v>
      </c>
      <c r="CC68">
        <f t="shared" si="106"/>
        <v>-50</v>
      </c>
    </row>
    <row r="69" spans="5:81" x14ac:dyDescent="0.25">
      <c r="E69" s="177">
        <v>64</v>
      </c>
      <c r="F69" s="224">
        <f t="shared" si="107"/>
        <v>6.4000000000000001E-2</v>
      </c>
      <c r="G69" s="224"/>
      <c r="H69" s="224">
        <f t="shared" ref="H69:H100" si="109">F69*Vout</f>
        <v>0.4032</v>
      </c>
      <c r="I69" s="560">
        <f t="shared" ref="I69:I105" si="110">Vin</f>
        <v>24</v>
      </c>
      <c r="J69" s="179">
        <f t="shared" ref="J69:J105" si="111">(T69+Vfwd1)*Nps</f>
        <v>13.1</v>
      </c>
      <c r="K69" s="455">
        <f t="shared" ref="K69:K105" si="112">(Vout+Vfwd1)*Nps+I69</f>
        <v>37.1</v>
      </c>
      <c r="L69" s="455"/>
      <c r="M69" s="224">
        <f t="shared" ref="M69:M105" si="113">(Vout+Vfwd1)*Nps/((Vout+Vfwd1)*Nps+I69)</f>
        <v>0.35309973045822102</v>
      </c>
      <c r="N69" s="179">
        <f t="shared" ref="N69:N105" si="114">M69*I69*Isw_max*0.5*Efficiency</f>
        <v>5.5295417789757408</v>
      </c>
      <c r="O69" s="179">
        <f t="shared" si="46"/>
        <v>0.4032</v>
      </c>
      <c r="P69" s="224">
        <f t="shared" ref="P69:P100" si="115">N69/Vout</f>
        <v>0.87770504428186369</v>
      </c>
      <c r="Q69" s="224">
        <f t="shared" ref="Q69:Q105" si="116">MIN(Vout,N69/F69)</f>
        <v>6.3</v>
      </c>
      <c r="R69" s="224">
        <f t="shared" ref="R69:R100" si="117">Isw_max/2*I69*Nps*(Q69+Vfwd1)/Q69/(I69+Nps*(Q69+Vfwd1))</f>
        <v>0.97522782697984844</v>
      </c>
      <c r="S69" s="179">
        <f t="shared" ref="S69:S105" si="118">(SQRT(Isw_max^2*Nps^2*I69^2+4*Isw_max*F69/Efficiency*(Nps^2*Vfwd1*I69-Nps*I69^2)+4*(F69/Efficiency)^2*Nps^2*Vfwd1^2+8*(F69/Efficiency)^2*Nps*Vfwd1*I69+4*(F69/Efficiency)^2*I69^2)-2*F69/Efficiency*I69-2*F69/Efficiency*Nps*Vfwd1+Isw_max*Nps*I69)/(4*F69/Efficiency*Nps)</f>
        <v>232.70037827915178</v>
      </c>
      <c r="T69" s="179">
        <f t="shared" ref="T69:T100" si="119">MIN(Vout, S69)</f>
        <v>6.3</v>
      </c>
      <c r="U69" s="224">
        <f t="shared" ref="U69:U105" si="120">MIN(2*Vout*F69/(Efficiency*I69*M69), Isw_max)</f>
        <v>0.10573027989821883</v>
      </c>
      <c r="V69" s="224">
        <f t="shared" ref="V69:V100" si="121">L*U69/I69*1000000</f>
        <v>0.24229855810008483</v>
      </c>
      <c r="W69" s="224">
        <f t="shared" ref="W69:W105" si="122">L*U69/J69*1000000</f>
        <v>0.44390575529786536</v>
      </c>
      <c r="X69" s="204">
        <f t="shared" ref="X69:X105" si="123">IF(1/((350000*L)*(1/I69+1/J69))&gt;Isw_min, 350, 0.001/((Isw_min*L)*(1/I69+1/J69)))</f>
        <v>350</v>
      </c>
      <c r="Y69" s="455">
        <f t="shared" si="47"/>
        <v>350</v>
      </c>
      <c r="AA69" s="224">
        <f t="shared" ref="AA69:AA105" si="124">1/((X69*1000*L)*(1/I69+1/J69))</f>
        <v>0.44022823537648331</v>
      </c>
      <c r="AB69" s="180">
        <f t="shared" ref="AB69:AB100" si="125">L*AA69/J69*1000000</f>
        <v>1.8482864844050828</v>
      </c>
      <c r="AC69" s="180">
        <f t="shared" ref="AC69:AC100" si="126">0.5*AB69*AA69*Nps*X69/1000</f>
        <v>0.28478376412494877</v>
      </c>
      <c r="AD69" s="180"/>
      <c r="AE69" s="180">
        <f t="shared" ref="AE69:AE105" si="127">L*Isw_min/J69*1000000</f>
        <v>1.217557251908397</v>
      </c>
      <c r="AF69" s="564">
        <f t="shared" si="108"/>
        <v>181.25608042373796</v>
      </c>
      <c r="AG69" s="547">
        <f t="shared" ref="AG69:AG105" si="128">0.5*AE69/1000000*Isw_min*Nps*X69*1000</f>
        <v>0.1235820610687023</v>
      </c>
      <c r="AI69" s="180">
        <f t="shared" ref="AI69:AI105" si="129">SQRT(F69/Efficiency/(0.5*L/J69*Fsw_DCM*Nps))</f>
        <v>0.21998294568556079</v>
      </c>
      <c r="AJ69" s="180">
        <f t="shared" ref="AJ69:AJ100" si="130">MAX(IF(F69&gt;AC69,U69,AI69),Isw_min)</f>
        <v>0.28999999999999998</v>
      </c>
      <c r="AK69" s="180">
        <f t="shared" ref="AK69:AK100" si="131">IF(F69&gt;AG69, (AJ69-Isw_min)/1.08*0.8+1.2, AF69*0.2/350+1)</f>
        <v>1.1035749030992787</v>
      </c>
      <c r="AM69" s="564">
        <f t="shared" ref="AM69:AM105" si="132">F69*1000</f>
        <v>64</v>
      </c>
      <c r="AN69" s="473">
        <f t="shared" ref="AN69:AN105" si="133">IF(F69&gt;AG69, Y69, AF69)</f>
        <v>181.25608042373796</v>
      </c>
      <c r="AP69">
        <f t="shared" ref="AP69:AP105" si="134">IF(H69&gt;N69, "",AM69)</f>
        <v>64</v>
      </c>
      <c r="AQ69">
        <f t="shared" ref="AQ69:AQ105" si="135">IF(H69&gt;N69, "",AN69)</f>
        <v>181.25608042373796</v>
      </c>
      <c r="AS69" s="5">
        <f t="shared" si="48"/>
        <v>5.5170562977099245</v>
      </c>
      <c r="AT69" s="5">
        <f t="shared" ref="AT69:AT105" si="136">L*AJ69/I69*1000000</f>
        <v>0.6645833333333333</v>
      </c>
      <c r="AU69" s="5">
        <f t="shared" si="49"/>
        <v>4.8524729643765916</v>
      </c>
      <c r="AV69" s="5">
        <f t="shared" ref="AV69:AV105" si="137">L*AJ69/J69*1000000</f>
        <v>1.217557251908397</v>
      </c>
      <c r="AW69" s="180">
        <f t="shared" si="50"/>
        <v>0.12045977011494251</v>
      </c>
      <c r="AX69" s="180">
        <f t="shared" ref="AX69:AX132" si="138">0.5*L*AJ69^2*AN69*1000</f>
        <v>0.41919999999999996</v>
      </c>
      <c r="AY69" s="180">
        <f t="shared" ref="AY69:AY132" si="139">AJ69*Nps/2*(1-AW69)</f>
        <v>0.25506666666666666</v>
      </c>
      <c r="AZ69" s="180">
        <f t="shared" si="51"/>
        <v>1.6434918975431259</v>
      </c>
      <c r="BA69" s="473">
        <f t="shared" ref="BA69:BA105" si="140">F69*AT69/Vout_ripple*1000</f>
        <v>0.67513227513227514</v>
      </c>
      <c r="BB69" s="5">
        <f t="shared" ref="BB69:BB105" si="141">H69/Efficiency/I69*AU69/Vinripple1</f>
        <v>7.5482912779191419E-2</v>
      </c>
      <c r="BC69" s="5"/>
      <c r="BD69" s="180">
        <f t="shared" si="52"/>
        <v>5.8111004886242393E-2</v>
      </c>
      <c r="BE69" s="180">
        <f t="shared" ref="BE69:BE132" si="142">AJ69*Nps*SQRT((1-AW69)/3)</f>
        <v>0.3140474132639493</v>
      </c>
      <c r="BF69" s="180"/>
      <c r="BG69" s="547">
        <f t="shared" ref="BG69:BG105" si="143">Rdson*BD69^2</f>
        <v>1.1819111111111104E-3</v>
      </c>
      <c r="BH69" s="547">
        <f t="shared" ref="BH69:BH105" si="144">0.5*K69*AJ69*AN69*1000*Trise</f>
        <v>1.950134169278997E-2</v>
      </c>
      <c r="BI69" s="547">
        <f t="shared" ref="BI69:BI105" si="145">Qg*Vdd*AN69*1000</f>
        <v>2.2657010052967246E-3</v>
      </c>
      <c r="BJ69" s="547">
        <f t="shared" ref="BJ69:BJ105" si="146">0.5*(Coss+Csw)*K69^2*AN69*1000</f>
        <v>1.4345254195222137E-2</v>
      </c>
      <c r="BK69">
        <f t="shared" ref="BK69:BK105" si="147">I69*IQ</f>
        <v>6.96E-3</v>
      </c>
      <c r="BL69" s="473">
        <f t="shared" si="53"/>
        <v>44.254208004419937</v>
      </c>
      <c r="BM69" s="547">
        <f t="shared" ref="BM69:BM105" si="148">Vfwd2*F69</f>
        <v>2.24E-2</v>
      </c>
      <c r="BN69" s="547"/>
      <c r="BP69" s="473">
        <f t="shared" si="55"/>
        <v>22.4</v>
      </c>
      <c r="BQ69" s="547">
        <f t="shared" ref="BQ69:BQ105" si="149">Rdcr_pri*BD69^2</f>
        <v>3.7145777777777757E-4</v>
      </c>
      <c r="BR69" s="547">
        <f t="shared" ref="BR69:BR105" si="150">Rdcr_sec*BE69^2</f>
        <v>3.4519022222222217E-3</v>
      </c>
      <c r="BS69" s="547">
        <f t="shared" ref="BS69:BS105" si="151">AJ69^2.5*AN69^2.5*k_core</f>
        <v>1.0016049448512956E-3</v>
      </c>
      <c r="BT69" s="547">
        <f t="shared" ref="BT69:BT105" si="152">0.5*Lleak*0.000000001*AJ69^2*AN69*1000</f>
        <v>1.5243636363636364E-2</v>
      </c>
      <c r="BU69" s="473">
        <f t="shared" si="56"/>
        <v>20.068601308487658</v>
      </c>
      <c r="BV69" s="180">
        <f t="shared" si="57"/>
        <v>8.6722809312907601E-2</v>
      </c>
      <c r="BW69" s="5">
        <f t="shared" si="58"/>
        <v>0.4032</v>
      </c>
      <c r="BX69" s="180">
        <f t="shared" si="59"/>
        <v>0.82298678962399807</v>
      </c>
      <c r="BY69" s="5">
        <f t="shared" si="60"/>
        <v>82.298678962399805</v>
      </c>
      <c r="CB69" s="582">
        <f t="shared" ref="CB69:CB105" si="153">IF(ABS(F69-Ioutmax_Vinnom)&lt;Iout/200, AN69, -50)</f>
        <v>-50</v>
      </c>
      <c r="CC69">
        <f t="shared" ref="CC69:CC105" si="154">IF(ABS(F69-Ioutmax_Vinnom)&lt;Iout/200, N69*BX69, -50)</f>
        <v>-50</v>
      </c>
    </row>
    <row r="70" spans="5:81" x14ac:dyDescent="0.25">
      <c r="E70" s="177">
        <v>65</v>
      </c>
      <c r="F70" s="224">
        <f t="shared" ref="F70:F101" si="155">IF(PLOT_TYPE=1, E70/100*Iout_max, min_I*EXP(N70*rr/100))</f>
        <v>6.5000000000000002E-2</v>
      </c>
      <c r="G70" s="224"/>
      <c r="H70" s="224">
        <f t="shared" si="109"/>
        <v>0.40949999999999998</v>
      </c>
      <c r="I70" s="560">
        <f t="shared" si="110"/>
        <v>24</v>
      </c>
      <c r="J70" s="179">
        <f t="shared" si="111"/>
        <v>13.1</v>
      </c>
      <c r="K70" s="455">
        <f t="shared" si="112"/>
        <v>37.1</v>
      </c>
      <c r="L70" s="455"/>
      <c r="M70" s="224">
        <f t="shared" si="113"/>
        <v>0.35309973045822102</v>
      </c>
      <c r="N70" s="179">
        <f t="shared" si="114"/>
        <v>5.5295417789757408</v>
      </c>
      <c r="O70" s="179">
        <f t="shared" ref="O70:O133" si="156">T70*F70</f>
        <v>0.40949999999999998</v>
      </c>
      <c r="P70" s="224">
        <f t="shared" si="115"/>
        <v>0.87770504428186369</v>
      </c>
      <c r="Q70" s="224">
        <f t="shared" si="116"/>
        <v>6.3</v>
      </c>
      <c r="R70" s="224">
        <f t="shared" si="117"/>
        <v>0.97522782697984844</v>
      </c>
      <c r="S70" s="179">
        <f t="shared" si="118"/>
        <v>228.93616671834226</v>
      </c>
      <c r="T70" s="179">
        <f t="shared" si="119"/>
        <v>6.3</v>
      </c>
      <c r="U70" s="224">
        <f t="shared" si="120"/>
        <v>0.10738231552162848</v>
      </c>
      <c r="V70" s="224">
        <f t="shared" si="121"/>
        <v>0.24608447307039863</v>
      </c>
      <c r="W70" s="224">
        <f t="shared" si="122"/>
        <v>0.4508417827243944</v>
      </c>
      <c r="X70" s="204">
        <f t="shared" si="123"/>
        <v>350</v>
      </c>
      <c r="Y70" s="455">
        <f t="shared" ref="Y70:Y105" si="157">MIN(1/(V70+W70)*1000, 350)</f>
        <v>350</v>
      </c>
      <c r="AA70" s="224">
        <f t="shared" si="124"/>
        <v>0.44022823537648331</v>
      </c>
      <c r="AB70" s="180">
        <f t="shared" si="125"/>
        <v>1.8482864844050828</v>
      </c>
      <c r="AC70" s="180">
        <f t="shared" si="126"/>
        <v>0.28478376412494877</v>
      </c>
      <c r="AD70" s="180"/>
      <c r="AE70" s="180">
        <f t="shared" si="127"/>
        <v>1.217557251908397</v>
      </c>
      <c r="AF70" s="564">
        <f t="shared" si="108"/>
        <v>184.08820668035887</v>
      </c>
      <c r="AG70" s="547">
        <f t="shared" si="128"/>
        <v>0.1235820610687023</v>
      </c>
      <c r="AI70" s="180">
        <f t="shared" si="129"/>
        <v>0.22169490104336895</v>
      </c>
      <c r="AJ70" s="180">
        <f t="shared" si="130"/>
        <v>0.28999999999999998</v>
      </c>
      <c r="AK70" s="180">
        <f t="shared" si="131"/>
        <v>1.1051932609602051</v>
      </c>
      <c r="AM70" s="564">
        <f t="shared" si="132"/>
        <v>65</v>
      </c>
      <c r="AN70" s="473">
        <f t="shared" si="133"/>
        <v>184.08820668035887</v>
      </c>
      <c r="AP70">
        <f t="shared" si="134"/>
        <v>65</v>
      </c>
      <c r="AQ70">
        <f t="shared" si="135"/>
        <v>184.08820668035887</v>
      </c>
      <c r="AS70" s="5">
        <f t="shared" ref="AS70:AS133" si="158">1/AN70*1000</f>
        <v>5.4321785085143874</v>
      </c>
      <c r="AT70" s="5">
        <f t="shared" si="136"/>
        <v>0.6645833333333333</v>
      </c>
      <c r="AU70" s="5">
        <f t="shared" ref="AU70:AU105" si="159">AS70-AT70</f>
        <v>4.7675951751810537</v>
      </c>
      <c r="AV70" s="5">
        <f t="shared" si="137"/>
        <v>1.217557251908397</v>
      </c>
      <c r="AW70" s="180">
        <f t="shared" ref="AW70:AW105" si="160">AT70/AS70</f>
        <v>0.12234195402298847</v>
      </c>
      <c r="AX70" s="180">
        <f t="shared" si="138"/>
        <v>0.42574999999999996</v>
      </c>
      <c r="AY70" s="180">
        <f t="shared" si="139"/>
        <v>0.25452083333333336</v>
      </c>
      <c r="AZ70" s="180">
        <f t="shared" ref="AZ70:AZ133" si="161">AX70/AY70</f>
        <v>1.6727510845543092</v>
      </c>
      <c r="BA70" s="473">
        <f t="shared" si="140"/>
        <v>0.68568121693121697</v>
      </c>
      <c r="BB70" s="5">
        <f t="shared" si="141"/>
        <v>7.5321382107895088E-2</v>
      </c>
      <c r="BC70" s="5"/>
      <c r="BD70" s="180">
        <f t="shared" ref="BD70:BD133" si="162">AJ70*SQRT(AW70/3)</f>
        <v>5.8563237425690327E-2</v>
      </c>
      <c r="BE70" s="180">
        <f t="shared" si="142"/>
        <v>0.31371120831462529</v>
      </c>
      <c r="BF70" s="180"/>
      <c r="BG70" s="547">
        <f t="shared" si="143"/>
        <v>1.2003784722222216E-3</v>
      </c>
      <c r="BH70" s="547">
        <f t="shared" si="144"/>
        <v>1.9806050156739811E-2</v>
      </c>
      <c r="BI70" s="547">
        <f t="shared" si="145"/>
        <v>2.3011025835044858E-3</v>
      </c>
      <c r="BJ70" s="547">
        <f t="shared" si="146"/>
        <v>1.4569398792022483E-2</v>
      </c>
      <c r="BK70">
        <f t="shared" si="147"/>
        <v>6.96E-3</v>
      </c>
      <c r="BL70" s="473">
        <f t="shared" ref="BL70:BL105" si="163">SUM(BG70:BK70)*1000</f>
        <v>44.836930004489005</v>
      </c>
      <c r="BM70" s="547">
        <f t="shared" si="148"/>
        <v>2.2749999999999999E-2</v>
      </c>
      <c r="BN70" s="547"/>
      <c r="BP70" s="473">
        <f t="shared" ref="BP70:BP105" si="164">SUM(BM70:BO70)*1000</f>
        <v>22.75</v>
      </c>
      <c r="BQ70" s="547">
        <f t="shared" si="149"/>
        <v>3.7726180555555541E-4</v>
      </c>
      <c r="BR70" s="547">
        <f t="shared" si="150"/>
        <v>3.4445152777777782E-3</v>
      </c>
      <c r="BS70" s="547">
        <f t="shared" si="151"/>
        <v>1.0411898280518284E-3</v>
      </c>
      <c r="BT70" s="547">
        <f t="shared" si="152"/>
        <v>1.5481818181818182E-2</v>
      </c>
      <c r="BU70" s="473">
        <f t="shared" ref="BU70:BU105" si="165">SUM(BQ70:BT70)*1000</f>
        <v>20.344785093203345</v>
      </c>
      <c r="BV70" s="180">
        <f t="shared" ref="BV70:BV105" si="166">SUM(BG70:BK70,BM70:BO70,BQ70:BT70)</f>
        <v>8.7931715097692362E-2</v>
      </c>
      <c r="BW70" s="5">
        <f t="shared" ref="BW70:BW105" si="167">MIN(H70,O70)</f>
        <v>0.40949999999999998</v>
      </c>
      <c r="BX70" s="180">
        <f t="shared" ref="BX70:BX105" si="168">BW70/(BW70+BV70)</f>
        <v>0.82322857102019886</v>
      </c>
      <c r="BY70" s="5">
        <f t="shared" ref="BY70:BY105" si="169">BX70*100</f>
        <v>82.322857102019881</v>
      </c>
      <c r="CB70" s="582">
        <f t="shared" si="153"/>
        <v>-50</v>
      </c>
      <c r="CC70">
        <f t="shared" si="154"/>
        <v>-50</v>
      </c>
    </row>
    <row r="71" spans="5:81" x14ac:dyDescent="0.25">
      <c r="E71" s="177">
        <v>66</v>
      </c>
      <c r="F71" s="224">
        <f t="shared" si="155"/>
        <v>6.6000000000000003E-2</v>
      </c>
      <c r="G71" s="224"/>
      <c r="H71" s="224">
        <f t="shared" si="109"/>
        <v>0.4158</v>
      </c>
      <c r="I71" s="560">
        <f t="shared" si="110"/>
        <v>24</v>
      </c>
      <c r="J71" s="179">
        <f t="shared" si="111"/>
        <v>13.1</v>
      </c>
      <c r="K71" s="455">
        <f t="shared" si="112"/>
        <v>37.1</v>
      </c>
      <c r="L71" s="455"/>
      <c r="M71" s="224">
        <f t="shared" si="113"/>
        <v>0.35309973045822102</v>
      </c>
      <c r="N71" s="179">
        <f t="shared" si="114"/>
        <v>5.5295417789757408</v>
      </c>
      <c r="O71" s="179">
        <f t="shared" si="156"/>
        <v>0.4158</v>
      </c>
      <c r="P71" s="224">
        <f t="shared" si="115"/>
        <v>0.87770504428186369</v>
      </c>
      <c r="Q71" s="224">
        <f t="shared" si="116"/>
        <v>6.3</v>
      </c>
      <c r="R71" s="224">
        <f t="shared" si="117"/>
        <v>0.97522782697984844</v>
      </c>
      <c r="S71" s="179">
        <f t="shared" si="118"/>
        <v>225.28602891687879</v>
      </c>
      <c r="T71" s="179">
        <f t="shared" si="119"/>
        <v>6.3</v>
      </c>
      <c r="U71" s="224">
        <f t="shared" si="120"/>
        <v>0.10903435114503816</v>
      </c>
      <c r="V71" s="224">
        <f t="shared" si="121"/>
        <v>0.24987038804071246</v>
      </c>
      <c r="W71" s="224">
        <f t="shared" si="122"/>
        <v>0.45777781015092367</v>
      </c>
      <c r="X71" s="204">
        <f t="shared" si="123"/>
        <v>350</v>
      </c>
      <c r="Y71" s="455">
        <f t="shared" si="157"/>
        <v>350</v>
      </c>
      <c r="AA71" s="224">
        <f t="shared" si="124"/>
        <v>0.44022823537648331</v>
      </c>
      <c r="AB71" s="180">
        <f t="shared" si="125"/>
        <v>1.8482864844050828</v>
      </c>
      <c r="AC71" s="180">
        <f t="shared" si="126"/>
        <v>0.28478376412494877</v>
      </c>
      <c r="AD71" s="180"/>
      <c r="AE71" s="180">
        <f t="shared" si="127"/>
        <v>1.217557251908397</v>
      </c>
      <c r="AF71" s="564">
        <f t="shared" si="108"/>
        <v>186.92033293697978</v>
      </c>
      <c r="AG71" s="547">
        <f t="shared" si="128"/>
        <v>0.1235820610687023</v>
      </c>
      <c r="AI71" s="180">
        <f t="shared" si="129"/>
        <v>0.22339373738930529</v>
      </c>
      <c r="AJ71" s="180">
        <f t="shared" si="130"/>
        <v>0.28999999999999998</v>
      </c>
      <c r="AK71" s="180">
        <f t="shared" si="131"/>
        <v>1.1068116188211312</v>
      </c>
      <c r="AM71" s="564">
        <f t="shared" si="132"/>
        <v>66</v>
      </c>
      <c r="AN71" s="473">
        <f t="shared" si="133"/>
        <v>186.92033293697978</v>
      </c>
      <c r="AP71">
        <f t="shared" si="134"/>
        <v>66</v>
      </c>
      <c r="AQ71">
        <f t="shared" si="135"/>
        <v>186.92033293697978</v>
      </c>
      <c r="AS71" s="5">
        <f t="shared" si="158"/>
        <v>5.3498727735368963</v>
      </c>
      <c r="AT71" s="5">
        <f t="shared" si="136"/>
        <v>0.6645833333333333</v>
      </c>
      <c r="AU71" s="5">
        <f t="shared" si="159"/>
        <v>4.6852894402035634</v>
      </c>
      <c r="AV71" s="5">
        <f t="shared" si="137"/>
        <v>1.217557251908397</v>
      </c>
      <c r="AW71" s="180">
        <f t="shared" si="160"/>
        <v>0.12422413793103447</v>
      </c>
      <c r="AX71" s="180">
        <f t="shared" si="138"/>
        <v>0.43230000000000002</v>
      </c>
      <c r="AY71" s="180">
        <f t="shared" si="139"/>
        <v>0.25397500000000001</v>
      </c>
      <c r="AZ71" s="180">
        <f t="shared" si="161"/>
        <v>1.7021360370115168</v>
      </c>
      <c r="BA71" s="473">
        <f t="shared" si="140"/>
        <v>0.6962301587301587</v>
      </c>
      <c r="BB71" s="5">
        <f t="shared" si="141"/>
        <v>7.5159851436598826E-2</v>
      </c>
      <c r="BC71" s="5"/>
      <c r="BD71" s="180">
        <f t="shared" si="162"/>
        <v>5.9012004428477656E-2</v>
      </c>
      <c r="BE71" s="180">
        <f t="shared" si="142"/>
        <v>0.31337464266699477</v>
      </c>
      <c r="BF71" s="180"/>
      <c r="BG71" s="547">
        <f t="shared" si="143"/>
        <v>1.2188458333333332E-3</v>
      </c>
      <c r="BH71" s="547">
        <f t="shared" si="144"/>
        <v>2.0110758620689655E-2</v>
      </c>
      <c r="BI71" s="547">
        <f t="shared" si="145"/>
        <v>2.3365041617122474E-3</v>
      </c>
      <c r="BJ71" s="547">
        <f t="shared" si="146"/>
        <v>1.4793543388822831E-2</v>
      </c>
      <c r="BK71">
        <f t="shared" si="147"/>
        <v>6.96E-3</v>
      </c>
      <c r="BL71" s="473">
        <f t="shared" si="163"/>
        <v>45.419652004558067</v>
      </c>
      <c r="BM71" s="547">
        <f t="shared" si="148"/>
        <v>2.3099999999999999E-2</v>
      </c>
      <c r="BN71" s="547"/>
      <c r="BP71" s="473">
        <f t="shared" si="164"/>
        <v>23.099999999999998</v>
      </c>
      <c r="BQ71" s="547">
        <f t="shared" si="149"/>
        <v>3.8306583333333331E-4</v>
      </c>
      <c r="BR71" s="547">
        <f t="shared" si="150"/>
        <v>3.4371283333333334E-3</v>
      </c>
      <c r="BS71" s="547">
        <f t="shared" si="151"/>
        <v>1.0816988396788376E-3</v>
      </c>
      <c r="BT71" s="547">
        <f t="shared" si="152"/>
        <v>1.5719999999999998E-2</v>
      </c>
      <c r="BU71" s="473">
        <f t="shared" si="165"/>
        <v>20.621893006345502</v>
      </c>
      <c r="BV71" s="180">
        <f t="shared" si="166"/>
        <v>8.9141545010903558E-2</v>
      </c>
      <c r="BW71" s="5">
        <f t="shared" si="167"/>
        <v>0.4158</v>
      </c>
      <c r="BX71" s="180">
        <f t="shared" si="168"/>
        <v>0.82346165434064511</v>
      </c>
      <c r="BY71" s="5">
        <f t="shared" si="169"/>
        <v>82.346165434064517</v>
      </c>
      <c r="CB71" s="582">
        <f t="shared" si="153"/>
        <v>-50</v>
      </c>
      <c r="CC71">
        <f t="shared" si="154"/>
        <v>-50</v>
      </c>
    </row>
    <row r="72" spans="5:81" x14ac:dyDescent="0.25">
      <c r="E72" s="177">
        <v>67</v>
      </c>
      <c r="F72" s="224">
        <f t="shared" si="155"/>
        <v>6.7000000000000004E-2</v>
      </c>
      <c r="G72" s="224"/>
      <c r="H72" s="224">
        <f t="shared" si="109"/>
        <v>0.42210000000000003</v>
      </c>
      <c r="I72" s="560">
        <f t="shared" si="110"/>
        <v>24</v>
      </c>
      <c r="J72" s="179">
        <f t="shared" si="111"/>
        <v>13.1</v>
      </c>
      <c r="K72" s="455">
        <f t="shared" si="112"/>
        <v>37.1</v>
      </c>
      <c r="L72" s="455"/>
      <c r="M72" s="224">
        <f t="shared" si="113"/>
        <v>0.35309973045822102</v>
      </c>
      <c r="N72" s="179">
        <f t="shared" si="114"/>
        <v>5.5295417789757408</v>
      </c>
      <c r="O72" s="179">
        <f t="shared" si="156"/>
        <v>0.42210000000000003</v>
      </c>
      <c r="P72" s="224">
        <f t="shared" si="115"/>
        <v>0.87770504428186369</v>
      </c>
      <c r="Q72" s="224">
        <f t="shared" si="116"/>
        <v>6.3</v>
      </c>
      <c r="R72" s="224">
        <f t="shared" si="117"/>
        <v>0.97522782697984844</v>
      </c>
      <c r="S72" s="179">
        <f t="shared" si="118"/>
        <v>221.74485711015922</v>
      </c>
      <c r="T72" s="179">
        <f t="shared" si="119"/>
        <v>6.3</v>
      </c>
      <c r="U72" s="224">
        <f t="shared" si="120"/>
        <v>0.11068638676844784</v>
      </c>
      <c r="V72" s="224">
        <f t="shared" si="121"/>
        <v>0.25365630301102632</v>
      </c>
      <c r="W72" s="224">
        <f t="shared" si="122"/>
        <v>0.46471383757745277</v>
      </c>
      <c r="X72" s="204">
        <f t="shared" si="123"/>
        <v>350</v>
      </c>
      <c r="Y72" s="455">
        <f t="shared" si="157"/>
        <v>350</v>
      </c>
      <c r="AA72" s="224">
        <f t="shared" si="124"/>
        <v>0.44022823537648331</v>
      </c>
      <c r="AB72" s="180">
        <f t="shared" si="125"/>
        <v>1.8482864844050828</v>
      </c>
      <c r="AC72" s="180">
        <f t="shared" si="126"/>
        <v>0.28478376412494877</v>
      </c>
      <c r="AD72" s="180"/>
      <c r="AE72" s="180">
        <f t="shared" si="127"/>
        <v>1.217557251908397</v>
      </c>
      <c r="AF72" s="564">
        <f t="shared" ref="AF72:AF103" si="170">MAX(10000,F72/(0.5*AE72/1000000*Isw_min*Nps))/1000</f>
        <v>189.75245919360066</v>
      </c>
      <c r="AG72" s="547">
        <f t="shared" si="128"/>
        <v>0.1235820610687023</v>
      </c>
      <c r="AI72" s="180">
        <f t="shared" si="129"/>
        <v>0.22507975177899647</v>
      </c>
      <c r="AJ72" s="180">
        <f t="shared" si="130"/>
        <v>0.28999999999999998</v>
      </c>
      <c r="AK72" s="180">
        <f t="shared" si="131"/>
        <v>1.1084299766820576</v>
      </c>
      <c r="AM72" s="564">
        <f t="shared" si="132"/>
        <v>67</v>
      </c>
      <c r="AN72" s="473">
        <f t="shared" si="133"/>
        <v>189.75245919360066</v>
      </c>
      <c r="AP72">
        <f t="shared" si="134"/>
        <v>67</v>
      </c>
      <c r="AQ72">
        <f t="shared" si="135"/>
        <v>189.75245919360066</v>
      </c>
      <c r="AS72" s="5">
        <f t="shared" si="158"/>
        <v>5.2700239261706745</v>
      </c>
      <c r="AT72" s="5">
        <f t="shared" si="136"/>
        <v>0.6645833333333333</v>
      </c>
      <c r="AU72" s="5">
        <f t="shared" si="159"/>
        <v>4.6054405928373416</v>
      </c>
      <c r="AV72" s="5">
        <f t="shared" si="137"/>
        <v>1.217557251908397</v>
      </c>
      <c r="AW72" s="180">
        <f t="shared" si="160"/>
        <v>0.12610632183908044</v>
      </c>
      <c r="AX72" s="180">
        <f t="shared" si="138"/>
        <v>0.43884999999999991</v>
      </c>
      <c r="AY72" s="180">
        <f t="shared" si="139"/>
        <v>0.25342916666666665</v>
      </c>
      <c r="AZ72" s="180">
        <f t="shared" si="161"/>
        <v>1.7316475675320189</v>
      </c>
      <c r="BA72" s="473">
        <f t="shared" si="140"/>
        <v>0.70677910052910065</v>
      </c>
      <c r="BB72" s="5">
        <f t="shared" si="141"/>
        <v>7.4998320765302537E-2</v>
      </c>
      <c r="BC72" s="5"/>
      <c r="BD72" s="180">
        <f t="shared" si="162"/>
        <v>5.9457384365237211E-2</v>
      </c>
      <c r="BE72" s="180">
        <f t="shared" si="142"/>
        <v>0.31303771515763257</v>
      </c>
      <c r="BF72" s="180"/>
      <c r="BG72" s="547">
        <f t="shared" si="143"/>
        <v>1.2373131944444439E-3</v>
      </c>
      <c r="BH72" s="547">
        <f t="shared" si="144"/>
        <v>2.0415467084639493E-2</v>
      </c>
      <c r="BI72" s="547">
        <f t="shared" si="145"/>
        <v>2.3719057399200082E-3</v>
      </c>
      <c r="BJ72" s="547">
        <f t="shared" si="146"/>
        <v>1.5017687985623173E-2</v>
      </c>
      <c r="BK72">
        <f t="shared" si="147"/>
        <v>6.96E-3</v>
      </c>
      <c r="BL72" s="473">
        <f t="shared" si="163"/>
        <v>46.002374004627114</v>
      </c>
      <c r="BM72" s="547">
        <f t="shared" si="148"/>
        <v>2.3449999999999999E-2</v>
      </c>
      <c r="BN72" s="547"/>
      <c r="BP72" s="473">
        <f t="shared" si="164"/>
        <v>23.45</v>
      </c>
      <c r="BQ72" s="547">
        <f t="shared" si="149"/>
        <v>3.8886986111111099E-4</v>
      </c>
      <c r="BR72" s="547">
        <f t="shared" si="150"/>
        <v>3.429741388888889E-3</v>
      </c>
      <c r="BS72" s="547">
        <f t="shared" si="151"/>
        <v>1.1231390614178586E-3</v>
      </c>
      <c r="BT72" s="547">
        <f t="shared" si="152"/>
        <v>1.5958181818181816E-2</v>
      </c>
      <c r="BU72" s="473">
        <f t="shared" si="165"/>
        <v>20.899932129599673</v>
      </c>
      <c r="BV72" s="180">
        <f t="shared" si="166"/>
        <v>9.035230613422679E-2</v>
      </c>
      <c r="BW72" s="5">
        <f t="shared" si="167"/>
        <v>0.42210000000000003</v>
      </c>
      <c r="BX72" s="180">
        <f t="shared" si="168"/>
        <v>0.82368640934448101</v>
      </c>
      <c r="BY72" s="5">
        <f t="shared" si="169"/>
        <v>82.368640934448095</v>
      </c>
      <c r="CB72" s="582">
        <f t="shared" si="153"/>
        <v>-50</v>
      </c>
      <c r="CC72">
        <f t="shared" si="154"/>
        <v>-50</v>
      </c>
    </row>
    <row r="73" spans="5:81" x14ac:dyDescent="0.25">
      <c r="E73" s="177">
        <v>68</v>
      </c>
      <c r="F73" s="224">
        <f t="shared" si="155"/>
        <v>6.8000000000000005E-2</v>
      </c>
      <c r="G73" s="224"/>
      <c r="H73" s="224">
        <f t="shared" si="109"/>
        <v>0.4284</v>
      </c>
      <c r="I73" s="560">
        <f t="shared" si="110"/>
        <v>24</v>
      </c>
      <c r="J73" s="179">
        <f t="shared" si="111"/>
        <v>13.1</v>
      </c>
      <c r="K73" s="455">
        <f t="shared" si="112"/>
        <v>37.1</v>
      </c>
      <c r="L73" s="455"/>
      <c r="M73" s="224">
        <f t="shared" si="113"/>
        <v>0.35309973045822102</v>
      </c>
      <c r="N73" s="179">
        <f t="shared" si="114"/>
        <v>5.5295417789757408</v>
      </c>
      <c r="O73" s="179">
        <f t="shared" si="156"/>
        <v>0.4284</v>
      </c>
      <c r="P73" s="224">
        <f t="shared" si="115"/>
        <v>0.87770504428186369</v>
      </c>
      <c r="Q73" s="224">
        <f t="shared" si="116"/>
        <v>6.3</v>
      </c>
      <c r="R73" s="224">
        <f t="shared" si="117"/>
        <v>0.97522782697984844</v>
      </c>
      <c r="S73" s="179">
        <f t="shared" si="118"/>
        <v>218.30784399037015</v>
      </c>
      <c r="T73" s="179">
        <f t="shared" si="119"/>
        <v>6.3</v>
      </c>
      <c r="U73" s="224">
        <f t="shared" si="120"/>
        <v>0.1123384223918575</v>
      </c>
      <c r="V73" s="224">
        <f t="shared" si="121"/>
        <v>0.25744221798134015</v>
      </c>
      <c r="W73" s="224">
        <f t="shared" si="122"/>
        <v>0.47164986500398193</v>
      </c>
      <c r="X73" s="204">
        <f t="shared" si="123"/>
        <v>350</v>
      </c>
      <c r="Y73" s="455">
        <f t="shared" si="157"/>
        <v>350</v>
      </c>
      <c r="AA73" s="224">
        <f t="shared" si="124"/>
        <v>0.44022823537648331</v>
      </c>
      <c r="AB73" s="180">
        <f t="shared" si="125"/>
        <v>1.8482864844050828</v>
      </c>
      <c r="AC73" s="180">
        <f t="shared" si="126"/>
        <v>0.28478376412494877</v>
      </c>
      <c r="AD73" s="180"/>
      <c r="AE73" s="180">
        <f t="shared" si="127"/>
        <v>1.217557251908397</v>
      </c>
      <c r="AF73" s="564">
        <f t="shared" si="170"/>
        <v>192.58458545022157</v>
      </c>
      <c r="AG73" s="547">
        <f t="shared" si="128"/>
        <v>0.1235820610687023</v>
      </c>
      <c r="AI73" s="180">
        <f t="shared" si="129"/>
        <v>0.22675323022402</v>
      </c>
      <c r="AJ73" s="180">
        <f t="shared" si="130"/>
        <v>0.28999999999999998</v>
      </c>
      <c r="AK73" s="180">
        <f t="shared" si="131"/>
        <v>1.1100483345429837</v>
      </c>
      <c r="AM73" s="564">
        <f t="shared" si="132"/>
        <v>68</v>
      </c>
      <c r="AN73" s="473">
        <f t="shared" si="133"/>
        <v>192.58458545022157</v>
      </c>
      <c r="AP73">
        <f t="shared" si="134"/>
        <v>68</v>
      </c>
      <c r="AQ73">
        <f t="shared" si="135"/>
        <v>192.58458545022157</v>
      </c>
      <c r="AS73" s="5">
        <f t="shared" si="158"/>
        <v>5.1925235743152234</v>
      </c>
      <c r="AT73" s="5">
        <f t="shared" si="136"/>
        <v>0.6645833333333333</v>
      </c>
      <c r="AU73" s="5">
        <f t="shared" si="159"/>
        <v>4.5279402409818896</v>
      </c>
      <c r="AV73" s="5">
        <f t="shared" si="137"/>
        <v>1.217557251908397</v>
      </c>
      <c r="AW73" s="180">
        <f t="shared" si="160"/>
        <v>0.12798850574712639</v>
      </c>
      <c r="AX73" s="180">
        <f t="shared" si="138"/>
        <v>0.44539999999999991</v>
      </c>
      <c r="AY73" s="180">
        <f t="shared" si="139"/>
        <v>0.25288333333333335</v>
      </c>
      <c r="AZ73" s="180">
        <f t="shared" si="161"/>
        <v>1.7612864957490273</v>
      </c>
      <c r="BA73" s="473">
        <f t="shared" si="140"/>
        <v>0.71732804232804226</v>
      </c>
      <c r="BB73" s="5">
        <f t="shared" si="141"/>
        <v>7.483679009400622E-2</v>
      </c>
      <c r="BC73" s="5"/>
      <c r="BD73" s="180">
        <f t="shared" si="162"/>
        <v>5.9899452789190337E-2</v>
      </c>
      <c r="BE73" s="180">
        <f t="shared" si="142"/>
        <v>0.31270042461684561</v>
      </c>
      <c r="BF73" s="180"/>
      <c r="BG73" s="547">
        <f t="shared" si="143"/>
        <v>1.2557805555555546E-3</v>
      </c>
      <c r="BH73" s="547">
        <f t="shared" si="144"/>
        <v>2.0720175548589341E-2</v>
      </c>
      <c r="BI73" s="547">
        <f t="shared" si="145"/>
        <v>2.4073073181277694E-3</v>
      </c>
      <c r="BJ73" s="547">
        <f t="shared" si="146"/>
        <v>1.5241832582423519E-2</v>
      </c>
      <c r="BK73">
        <f t="shared" si="147"/>
        <v>6.96E-3</v>
      </c>
      <c r="BL73" s="473">
        <f t="shared" si="163"/>
        <v>46.58509600469619</v>
      </c>
      <c r="BM73" s="547">
        <f t="shared" si="148"/>
        <v>2.3800000000000002E-2</v>
      </c>
      <c r="BN73" s="547"/>
      <c r="BP73" s="473">
        <f t="shared" si="164"/>
        <v>23.8</v>
      </c>
      <c r="BQ73" s="547">
        <f t="shared" si="149"/>
        <v>3.9467388888888866E-4</v>
      </c>
      <c r="BR73" s="547">
        <f t="shared" si="150"/>
        <v>3.4223544444444442E-3</v>
      </c>
      <c r="BS73" s="547">
        <f t="shared" si="151"/>
        <v>1.1655175215024029E-3</v>
      </c>
      <c r="BT73" s="547">
        <f t="shared" si="152"/>
        <v>1.6196363636363634E-2</v>
      </c>
      <c r="BU73" s="473">
        <f t="shared" si="165"/>
        <v>21.17890949119937</v>
      </c>
      <c r="BV73" s="180">
        <f t="shared" si="166"/>
        <v>9.1564005495895565E-2</v>
      </c>
      <c r="BW73" s="5">
        <f t="shared" si="167"/>
        <v>0.4284</v>
      </c>
      <c r="BX73" s="180">
        <f t="shared" si="168"/>
        <v>0.82390318458953715</v>
      </c>
      <c r="BY73" s="5">
        <f t="shared" si="169"/>
        <v>82.390318458953715</v>
      </c>
      <c r="CB73" s="582">
        <f t="shared" si="153"/>
        <v>-50</v>
      </c>
      <c r="CC73">
        <f t="shared" si="154"/>
        <v>-50</v>
      </c>
    </row>
    <row r="74" spans="5:81" x14ac:dyDescent="0.25">
      <c r="E74" s="177">
        <v>69</v>
      </c>
      <c r="F74" s="224">
        <f t="shared" si="155"/>
        <v>6.8999999999999992E-2</v>
      </c>
      <c r="G74" s="224"/>
      <c r="H74" s="224">
        <f t="shared" si="109"/>
        <v>0.43469999999999992</v>
      </c>
      <c r="I74" s="560">
        <f t="shared" si="110"/>
        <v>24</v>
      </c>
      <c r="J74" s="179">
        <f t="shared" si="111"/>
        <v>13.1</v>
      </c>
      <c r="K74" s="455">
        <f t="shared" si="112"/>
        <v>37.1</v>
      </c>
      <c r="L74" s="455"/>
      <c r="M74" s="224">
        <f t="shared" si="113"/>
        <v>0.35309973045822102</v>
      </c>
      <c r="N74" s="179">
        <f t="shared" si="114"/>
        <v>5.5295417789757408</v>
      </c>
      <c r="O74" s="179">
        <f t="shared" si="156"/>
        <v>0.43469999999999992</v>
      </c>
      <c r="P74" s="224">
        <f t="shared" si="115"/>
        <v>0.87770504428186369</v>
      </c>
      <c r="Q74" s="224">
        <f t="shared" si="116"/>
        <v>6.3</v>
      </c>
      <c r="R74" s="224">
        <f t="shared" si="117"/>
        <v>0.97522782697984844</v>
      </c>
      <c r="S74" s="179">
        <f t="shared" si="118"/>
        <v>214.9704609342561</v>
      </c>
      <c r="T74" s="179">
        <f t="shared" si="119"/>
        <v>6.3</v>
      </c>
      <c r="U74" s="224">
        <f t="shared" si="120"/>
        <v>0.11399045801526715</v>
      </c>
      <c r="V74" s="224">
        <f t="shared" si="121"/>
        <v>0.26122813295165387</v>
      </c>
      <c r="W74" s="224">
        <f t="shared" si="122"/>
        <v>0.47858589243051097</v>
      </c>
      <c r="X74" s="204">
        <f t="shared" si="123"/>
        <v>350</v>
      </c>
      <c r="Y74" s="455">
        <f t="shared" si="157"/>
        <v>350</v>
      </c>
      <c r="AA74" s="224">
        <f t="shared" si="124"/>
        <v>0.44022823537648331</v>
      </c>
      <c r="AB74" s="180">
        <f t="shared" si="125"/>
        <v>1.8482864844050828</v>
      </c>
      <c r="AC74" s="180">
        <f t="shared" si="126"/>
        <v>0.28478376412494877</v>
      </c>
      <c r="AD74" s="180"/>
      <c r="AE74" s="180">
        <f t="shared" si="127"/>
        <v>1.217557251908397</v>
      </c>
      <c r="AF74" s="564">
        <f t="shared" si="170"/>
        <v>195.41671170684245</v>
      </c>
      <c r="AG74" s="547">
        <f t="shared" si="128"/>
        <v>0.1235820610687023</v>
      </c>
      <c r="AI74" s="180">
        <f t="shared" si="129"/>
        <v>0.22841444825833623</v>
      </c>
      <c r="AJ74" s="180">
        <f t="shared" si="130"/>
        <v>0.28999999999999998</v>
      </c>
      <c r="AK74" s="180">
        <f t="shared" si="131"/>
        <v>1.11166669240391</v>
      </c>
      <c r="AM74" s="564">
        <f t="shared" si="132"/>
        <v>68.999999999999986</v>
      </c>
      <c r="AN74" s="473">
        <f t="shared" si="133"/>
        <v>195.41671170684245</v>
      </c>
      <c r="AP74">
        <f t="shared" si="134"/>
        <v>68.999999999999986</v>
      </c>
      <c r="AQ74">
        <f t="shared" si="135"/>
        <v>195.41671170684245</v>
      </c>
      <c r="AS74" s="5">
        <f t="shared" si="158"/>
        <v>5.1172696094700756</v>
      </c>
      <c r="AT74" s="5">
        <f t="shared" si="136"/>
        <v>0.6645833333333333</v>
      </c>
      <c r="AU74" s="5">
        <f t="shared" si="159"/>
        <v>4.4526862761367418</v>
      </c>
      <c r="AV74" s="5">
        <f t="shared" si="137"/>
        <v>1.217557251908397</v>
      </c>
      <c r="AW74" s="180">
        <f t="shared" si="160"/>
        <v>0.12987068965517237</v>
      </c>
      <c r="AX74" s="180">
        <f t="shared" si="138"/>
        <v>0.45194999999999991</v>
      </c>
      <c r="AY74" s="180">
        <f t="shared" si="139"/>
        <v>0.25233749999999999</v>
      </c>
      <c r="AZ74" s="180">
        <f t="shared" si="161"/>
        <v>1.7910536483875759</v>
      </c>
      <c r="BA74" s="473">
        <f t="shared" si="140"/>
        <v>0.72787698412698398</v>
      </c>
      <c r="BB74" s="5">
        <f t="shared" si="141"/>
        <v>7.4675259422709903E-2</v>
      </c>
      <c r="BC74" s="5"/>
      <c r="BD74" s="180">
        <f t="shared" si="162"/>
        <v>6.0338282485776239E-2</v>
      </c>
      <c r="BE74" s="180">
        <f t="shared" si="142"/>
        <v>0.31236276986862566</v>
      </c>
      <c r="BF74" s="180"/>
      <c r="BG74" s="547">
        <f t="shared" si="143"/>
        <v>1.274247916666666E-3</v>
      </c>
      <c r="BH74" s="547">
        <f t="shared" si="144"/>
        <v>2.1024884012539179E-2</v>
      </c>
      <c r="BI74" s="547">
        <f t="shared" si="145"/>
        <v>2.4427088963355306E-3</v>
      </c>
      <c r="BJ74" s="547">
        <f t="shared" si="146"/>
        <v>1.5465977179223865E-2</v>
      </c>
      <c r="BK74">
        <f t="shared" si="147"/>
        <v>6.96E-3</v>
      </c>
      <c r="BL74" s="473">
        <f t="shared" si="163"/>
        <v>47.167818004765245</v>
      </c>
      <c r="BM74" s="547">
        <f t="shared" si="148"/>
        <v>2.4149999999999994E-2</v>
      </c>
      <c r="BN74" s="547"/>
      <c r="BP74" s="473">
        <f t="shared" si="164"/>
        <v>24.149999999999995</v>
      </c>
      <c r="BQ74" s="547">
        <f t="shared" si="149"/>
        <v>4.004779166666665E-4</v>
      </c>
      <c r="BR74" s="547">
        <f t="shared" si="150"/>
        <v>3.4149674999999998E-3</v>
      </c>
      <c r="BS74" s="547">
        <f t="shared" si="151"/>
        <v>1.2088411959063797E-3</v>
      </c>
      <c r="BT74" s="547">
        <f t="shared" si="152"/>
        <v>1.6434545454545452E-2</v>
      </c>
      <c r="BU74" s="473">
        <f t="shared" si="165"/>
        <v>21.458832067118497</v>
      </c>
      <c r="BV74" s="180">
        <f t="shared" si="166"/>
        <v>9.2776650071883737E-2</v>
      </c>
      <c r="BW74" s="5">
        <f t="shared" si="167"/>
        <v>0.43469999999999992</v>
      </c>
      <c r="BX74" s="180">
        <f t="shared" si="168"/>
        <v>0.82411230893492571</v>
      </c>
      <c r="BY74" s="5">
        <f t="shared" si="169"/>
        <v>82.411230893492572</v>
      </c>
      <c r="CB74" s="582">
        <f t="shared" si="153"/>
        <v>-50</v>
      </c>
      <c r="CC74">
        <f t="shared" si="154"/>
        <v>-50</v>
      </c>
    </row>
    <row r="75" spans="5:81" x14ac:dyDescent="0.25">
      <c r="E75" s="177">
        <v>70</v>
      </c>
      <c r="F75" s="224">
        <f t="shared" si="155"/>
        <v>6.9999999999999993E-2</v>
      </c>
      <c r="G75" s="224"/>
      <c r="H75" s="224">
        <f t="shared" si="109"/>
        <v>0.44099999999999995</v>
      </c>
      <c r="I75" s="560">
        <f t="shared" si="110"/>
        <v>24</v>
      </c>
      <c r="J75" s="179">
        <f t="shared" si="111"/>
        <v>13.1</v>
      </c>
      <c r="K75" s="455">
        <f t="shared" si="112"/>
        <v>37.1</v>
      </c>
      <c r="L75" s="455"/>
      <c r="M75" s="224">
        <f t="shared" si="113"/>
        <v>0.35309973045822102</v>
      </c>
      <c r="N75" s="179">
        <f t="shared" si="114"/>
        <v>5.5295417789757408</v>
      </c>
      <c r="O75" s="179">
        <f t="shared" si="156"/>
        <v>0.44099999999999995</v>
      </c>
      <c r="P75" s="224">
        <f t="shared" si="115"/>
        <v>0.87770504428186369</v>
      </c>
      <c r="Q75" s="224">
        <f t="shared" si="116"/>
        <v>6.3</v>
      </c>
      <c r="R75" s="224">
        <f t="shared" si="117"/>
        <v>0.97522782697984844</v>
      </c>
      <c r="S75" s="179">
        <f t="shared" si="118"/>
        <v>211.72843809707962</v>
      </c>
      <c r="T75" s="179">
        <f t="shared" si="119"/>
        <v>6.3</v>
      </c>
      <c r="U75" s="224">
        <f t="shared" si="120"/>
        <v>0.11564249363867683</v>
      </c>
      <c r="V75" s="224">
        <f t="shared" si="121"/>
        <v>0.26501404792196775</v>
      </c>
      <c r="W75" s="224">
        <f t="shared" si="122"/>
        <v>0.48552191985704019</v>
      </c>
      <c r="X75" s="204">
        <f t="shared" si="123"/>
        <v>350</v>
      </c>
      <c r="Y75" s="455">
        <f t="shared" si="157"/>
        <v>350</v>
      </c>
      <c r="AA75" s="224">
        <f t="shared" si="124"/>
        <v>0.44022823537648331</v>
      </c>
      <c r="AB75" s="180">
        <f t="shared" si="125"/>
        <v>1.8482864844050828</v>
      </c>
      <c r="AC75" s="180">
        <f t="shared" si="126"/>
        <v>0.28478376412494877</v>
      </c>
      <c r="AD75" s="180"/>
      <c r="AE75" s="180">
        <f t="shared" si="127"/>
        <v>1.217557251908397</v>
      </c>
      <c r="AF75" s="564">
        <f t="shared" si="170"/>
        <v>198.24883796346336</v>
      </c>
      <c r="AG75" s="547">
        <f t="shared" si="128"/>
        <v>0.1235820610687023</v>
      </c>
      <c r="AI75" s="180">
        <f t="shared" si="129"/>
        <v>0.23006367146790671</v>
      </c>
      <c r="AJ75" s="180">
        <f t="shared" si="130"/>
        <v>0.28999999999999998</v>
      </c>
      <c r="AK75" s="180">
        <f t="shared" si="131"/>
        <v>1.1132850502648362</v>
      </c>
      <c r="AM75" s="564">
        <f t="shared" si="132"/>
        <v>69.999999999999986</v>
      </c>
      <c r="AN75" s="473">
        <f t="shared" si="133"/>
        <v>198.24883796346336</v>
      </c>
      <c r="AP75">
        <f t="shared" si="134"/>
        <v>69.999999999999986</v>
      </c>
      <c r="AQ75">
        <f t="shared" si="135"/>
        <v>198.24883796346336</v>
      </c>
      <c r="AS75" s="5">
        <f t="shared" si="158"/>
        <v>5.0441657579062174</v>
      </c>
      <c r="AT75" s="5">
        <f t="shared" si="136"/>
        <v>0.6645833333333333</v>
      </c>
      <c r="AU75" s="5">
        <f t="shared" si="159"/>
        <v>4.3795824245728845</v>
      </c>
      <c r="AV75" s="5">
        <f t="shared" si="137"/>
        <v>1.217557251908397</v>
      </c>
      <c r="AW75" s="180">
        <f t="shared" si="160"/>
        <v>0.13175287356321835</v>
      </c>
      <c r="AX75" s="180">
        <f t="shared" si="138"/>
        <v>0.45849999999999985</v>
      </c>
      <c r="AY75" s="180">
        <f t="shared" si="139"/>
        <v>0.25179166666666669</v>
      </c>
      <c r="AZ75" s="180">
        <f t="shared" si="161"/>
        <v>1.820949859341386</v>
      </c>
      <c r="BA75" s="473">
        <f t="shared" si="140"/>
        <v>0.73842592592592582</v>
      </c>
      <c r="BB75" s="5">
        <f t="shared" si="141"/>
        <v>7.4513728751413641E-2</v>
      </c>
      <c r="BC75" s="5"/>
      <c r="BD75" s="180">
        <f t="shared" si="162"/>
        <v>6.077394361255669E-2</v>
      </c>
      <c r="BE75" s="180">
        <f t="shared" si="142"/>
        <v>0.3120247497306014</v>
      </c>
      <c r="BF75" s="180"/>
      <c r="BG75" s="547">
        <f t="shared" si="143"/>
        <v>1.292715277777777E-3</v>
      </c>
      <c r="BH75" s="547">
        <f t="shared" si="144"/>
        <v>2.1329592476489023E-2</v>
      </c>
      <c r="BI75" s="547">
        <f t="shared" si="145"/>
        <v>2.4781104745432918E-3</v>
      </c>
      <c r="BJ75" s="547">
        <f t="shared" si="146"/>
        <v>1.5690121776024211E-2</v>
      </c>
      <c r="BK75">
        <f t="shared" si="147"/>
        <v>6.96E-3</v>
      </c>
      <c r="BL75" s="473">
        <f t="shared" si="163"/>
        <v>47.750540004834299</v>
      </c>
      <c r="BM75" s="547">
        <f t="shared" si="148"/>
        <v>2.4499999999999997E-2</v>
      </c>
      <c r="BN75" s="547"/>
      <c r="BP75" s="473">
        <f t="shared" si="164"/>
        <v>24.499999999999996</v>
      </c>
      <c r="BQ75" s="547">
        <f t="shared" si="149"/>
        <v>4.0628194444444418E-4</v>
      </c>
      <c r="BR75" s="547">
        <f t="shared" si="150"/>
        <v>3.4075805555555559E-3</v>
      </c>
      <c r="BS75" s="547">
        <f t="shared" si="151"/>
        <v>1.2531170094928388E-3</v>
      </c>
      <c r="BT75" s="547">
        <f t="shared" si="152"/>
        <v>1.667272727272727E-2</v>
      </c>
      <c r="BU75" s="473">
        <f t="shared" si="165"/>
        <v>21.739706782220111</v>
      </c>
      <c r="BV75" s="180">
        <f t="shared" si="166"/>
        <v>9.3990246787054407E-2</v>
      </c>
      <c r="BW75" s="5">
        <f t="shared" si="167"/>
        <v>0.44099999999999995</v>
      </c>
      <c r="BX75" s="180">
        <f t="shared" si="168"/>
        <v>0.82431409291753699</v>
      </c>
      <c r="BY75" s="5">
        <f t="shared" si="169"/>
        <v>82.431409291753695</v>
      </c>
      <c r="CB75" s="582">
        <f t="shared" si="153"/>
        <v>-50</v>
      </c>
      <c r="CC75">
        <f t="shared" si="154"/>
        <v>-50</v>
      </c>
    </row>
    <row r="76" spans="5:81" x14ac:dyDescent="0.25">
      <c r="E76" s="177">
        <v>71</v>
      </c>
      <c r="F76" s="224">
        <f t="shared" si="155"/>
        <v>7.0999999999999994E-2</v>
      </c>
      <c r="G76" s="224"/>
      <c r="H76" s="224">
        <f t="shared" si="109"/>
        <v>0.44729999999999992</v>
      </c>
      <c r="I76" s="560">
        <f t="shared" si="110"/>
        <v>24</v>
      </c>
      <c r="J76" s="179">
        <f t="shared" si="111"/>
        <v>13.1</v>
      </c>
      <c r="K76" s="455">
        <f t="shared" si="112"/>
        <v>37.1</v>
      </c>
      <c r="L76" s="455"/>
      <c r="M76" s="224">
        <f t="shared" si="113"/>
        <v>0.35309973045822102</v>
      </c>
      <c r="N76" s="179">
        <f t="shared" si="114"/>
        <v>5.5295417789757408</v>
      </c>
      <c r="O76" s="179">
        <f t="shared" si="156"/>
        <v>0.44729999999999992</v>
      </c>
      <c r="P76" s="224">
        <f t="shared" si="115"/>
        <v>0.87770504428186369</v>
      </c>
      <c r="Q76" s="224">
        <f t="shared" si="116"/>
        <v>6.3</v>
      </c>
      <c r="R76" s="224">
        <f t="shared" si="117"/>
        <v>0.97522782697984844</v>
      </c>
      <c r="S76" s="179">
        <f t="shared" si="118"/>
        <v>208.57774618878221</v>
      </c>
      <c r="T76" s="179">
        <f t="shared" si="119"/>
        <v>6.3</v>
      </c>
      <c r="U76" s="224">
        <f t="shared" si="120"/>
        <v>0.11729452926208649</v>
      </c>
      <c r="V76" s="224">
        <f t="shared" si="121"/>
        <v>0.26879996289228153</v>
      </c>
      <c r="W76" s="224">
        <f t="shared" si="122"/>
        <v>0.49245794728356923</v>
      </c>
      <c r="X76" s="204">
        <f t="shared" si="123"/>
        <v>350</v>
      </c>
      <c r="Y76" s="455">
        <f t="shared" si="157"/>
        <v>350</v>
      </c>
      <c r="AA76" s="224">
        <f t="shared" si="124"/>
        <v>0.44022823537648331</v>
      </c>
      <c r="AB76" s="180">
        <f t="shared" si="125"/>
        <v>1.8482864844050828</v>
      </c>
      <c r="AC76" s="180">
        <f t="shared" si="126"/>
        <v>0.28478376412494877</v>
      </c>
      <c r="AD76" s="180"/>
      <c r="AE76" s="180">
        <f t="shared" si="127"/>
        <v>1.217557251908397</v>
      </c>
      <c r="AF76" s="564">
        <f t="shared" si="170"/>
        <v>201.08096422008427</v>
      </c>
      <c r="AG76" s="547">
        <f t="shared" si="128"/>
        <v>0.1235820610687023</v>
      </c>
      <c r="AI76" s="180">
        <f t="shared" si="129"/>
        <v>0.23170115598638191</v>
      </c>
      <c r="AJ76" s="180">
        <f t="shared" si="130"/>
        <v>0.28999999999999998</v>
      </c>
      <c r="AK76" s="180">
        <f t="shared" si="131"/>
        <v>1.1149034081257625</v>
      </c>
      <c r="AM76" s="564">
        <f t="shared" si="132"/>
        <v>71</v>
      </c>
      <c r="AN76" s="473">
        <f t="shared" si="133"/>
        <v>201.08096422008427</v>
      </c>
      <c r="AP76">
        <f t="shared" si="134"/>
        <v>71</v>
      </c>
      <c r="AQ76">
        <f t="shared" si="135"/>
        <v>201.08096422008427</v>
      </c>
      <c r="AS76" s="5">
        <f t="shared" si="158"/>
        <v>4.9731211697666922</v>
      </c>
      <c r="AT76" s="5">
        <f t="shared" si="136"/>
        <v>0.6645833333333333</v>
      </c>
      <c r="AU76" s="5">
        <f t="shared" si="159"/>
        <v>4.3085378364333593</v>
      </c>
      <c r="AV76" s="5">
        <f t="shared" si="137"/>
        <v>1.217557251908397</v>
      </c>
      <c r="AW76" s="180">
        <f t="shared" si="160"/>
        <v>0.13363505747126436</v>
      </c>
      <c r="AX76" s="180">
        <f t="shared" si="138"/>
        <v>0.46504999999999991</v>
      </c>
      <c r="AY76" s="180">
        <f t="shared" si="139"/>
        <v>0.25124583333333333</v>
      </c>
      <c r="AZ76" s="180">
        <f t="shared" si="161"/>
        <v>1.8509759697507417</v>
      </c>
      <c r="BA76" s="473">
        <f t="shared" si="140"/>
        <v>0.74897486772486765</v>
      </c>
      <c r="BB76" s="5">
        <f t="shared" si="141"/>
        <v>7.435219808011731E-2</v>
      </c>
      <c r="BC76" s="5"/>
      <c r="BD76" s="180">
        <f t="shared" si="162"/>
        <v>6.1206503830157709E-2</v>
      </c>
      <c r="BE76" s="180">
        <f t="shared" si="142"/>
        <v>0.31168636301399022</v>
      </c>
      <c r="BF76" s="180"/>
      <c r="BG76" s="547">
        <f t="shared" si="143"/>
        <v>1.3111826388888886E-3</v>
      </c>
      <c r="BH76" s="547">
        <f t="shared" si="144"/>
        <v>2.1634300940438868E-2</v>
      </c>
      <c r="BI76" s="547">
        <f t="shared" si="145"/>
        <v>2.5135120527510534E-3</v>
      </c>
      <c r="BJ76" s="547">
        <f t="shared" si="146"/>
        <v>1.5914266372824556E-2</v>
      </c>
      <c r="BK76">
        <f t="shared" si="147"/>
        <v>6.96E-3</v>
      </c>
      <c r="BL76" s="473">
        <f t="shared" si="163"/>
        <v>48.333262004903361</v>
      </c>
      <c r="BM76" s="547">
        <f t="shared" si="148"/>
        <v>2.4849999999999997E-2</v>
      </c>
      <c r="BN76" s="547"/>
      <c r="BP76" s="473">
        <f t="shared" si="164"/>
        <v>24.849999999999998</v>
      </c>
      <c r="BQ76" s="547">
        <f t="shared" si="149"/>
        <v>4.1208597222222213E-4</v>
      </c>
      <c r="BR76" s="547">
        <f t="shared" si="150"/>
        <v>3.4001936111111115E-3</v>
      </c>
      <c r="BS76" s="547">
        <f t="shared" si="151"/>
        <v>1.2983518371212453E-3</v>
      </c>
      <c r="BT76" s="547">
        <f t="shared" si="152"/>
        <v>1.6910909090909088E-2</v>
      </c>
      <c r="BU76" s="473">
        <f t="shared" si="165"/>
        <v>22.021540511363664</v>
      </c>
      <c r="BV76" s="180">
        <f t="shared" si="166"/>
        <v>9.5204802516267034E-2</v>
      </c>
      <c r="BW76" s="5">
        <f t="shared" si="167"/>
        <v>0.44729999999999992</v>
      </c>
      <c r="BX76" s="180">
        <f t="shared" si="168"/>
        <v>0.82450883001462028</v>
      </c>
      <c r="BY76" s="5">
        <f t="shared" si="169"/>
        <v>82.450883001462032</v>
      </c>
      <c r="CB76" s="582">
        <f t="shared" si="153"/>
        <v>-50</v>
      </c>
      <c r="CC76">
        <f t="shared" si="154"/>
        <v>-50</v>
      </c>
    </row>
    <row r="77" spans="5:81" x14ac:dyDescent="0.25">
      <c r="E77" s="177">
        <v>72</v>
      </c>
      <c r="F77" s="224">
        <f t="shared" si="155"/>
        <v>7.1999999999999995E-2</v>
      </c>
      <c r="G77" s="224"/>
      <c r="H77" s="224">
        <f t="shared" si="109"/>
        <v>0.45359999999999995</v>
      </c>
      <c r="I77" s="560">
        <f t="shared" si="110"/>
        <v>24</v>
      </c>
      <c r="J77" s="179">
        <f t="shared" si="111"/>
        <v>13.1</v>
      </c>
      <c r="K77" s="455">
        <f t="shared" si="112"/>
        <v>37.1</v>
      </c>
      <c r="L77" s="455"/>
      <c r="M77" s="224">
        <f t="shared" si="113"/>
        <v>0.35309973045822102</v>
      </c>
      <c r="N77" s="179">
        <f t="shared" si="114"/>
        <v>5.5295417789757408</v>
      </c>
      <c r="O77" s="179">
        <f t="shared" si="156"/>
        <v>0.45359999999999995</v>
      </c>
      <c r="P77" s="224">
        <f t="shared" si="115"/>
        <v>0.87770504428186369</v>
      </c>
      <c r="Q77" s="224">
        <f t="shared" si="116"/>
        <v>6.3</v>
      </c>
      <c r="R77" s="224">
        <f t="shared" si="117"/>
        <v>0.97522782697984844</v>
      </c>
      <c r="S77" s="179">
        <f t="shared" si="118"/>
        <v>205.5145797687988</v>
      </c>
      <c r="T77" s="179">
        <f t="shared" si="119"/>
        <v>6.3</v>
      </c>
      <c r="U77" s="224">
        <f t="shared" si="120"/>
        <v>0.11894656488549617</v>
      </c>
      <c r="V77" s="224">
        <f t="shared" si="121"/>
        <v>0.27258587786259536</v>
      </c>
      <c r="W77" s="224">
        <f t="shared" si="122"/>
        <v>0.49939397471009839</v>
      </c>
      <c r="X77" s="204">
        <f t="shared" si="123"/>
        <v>350</v>
      </c>
      <c r="Y77" s="455">
        <f t="shared" si="157"/>
        <v>350</v>
      </c>
      <c r="AA77" s="224">
        <f t="shared" si="124"/>
        <v>0.44022823537648331</v>
      </c>
      <c r="AB77" s="180">
        <f t="shared" si="125"/>
        <v>1.8482864844050828</v>
      </c>
      <c r="AC77" s="180">
        <f t="shared" si="126"/>
        <v>0.28478376412494877</v>
      </c>
      <c r="AD77" s="180"/>
      <c r="AE77" s="180">
        <f t="shared" si="127"/>
        <v>1.217557251908397</v>
      </c>
      <c r="AF77" s="564">
        <f t="shared" si="170"/>
        <v>203.91309047670518</v>
      </c>
      <c r="AG77" s="547">
        <f t="shared" si="128"/>
        <v>0.1235820610687023</v>
      </c>
      <c r="AI77" s="180">
        <f t="shared" si="129"/>
        <v>0.23332714895947798</v>
      </c>
      <c r="AJ77" s="180">
        <f t="shared" si="130"/>
        <v>0.28999999999999998</v>
      </c>
      <c r="AK77" s="180">
        <f t="shared" si="131"/>
        <v>1.1165217659866886</v>
      </c>
      <c r="AM77" s="564">
        <f t="shared" si="132"/>
        <v>72</v>
      </c>
      <c r="AN77" s="473">
        <f t="shared" si="133"/>
        <v>203.91309047670518</v>
      </c>
      <c r="AP77">
        <f t="shared" si="134"/>
        <v>72</v>
      </c>
      <c r="AQ77">
        <f t="shared" si="135"/>
        <v>203.91309047670518</v>
      </c>
      <c r="AS77" s="5">
        <f t="shared" si="158"/>
        <v>4.904050042408822</v>
      </c>
      <c r="AT77" s="5">
        <f t="shared" si="136"/>
        <v>0.6645833333333333</v>
      </c>
      <c r="AU77" s="5">
        <f t="shared" si="159"/>
        <v>4.2394667090754883</v>
      </c>
      <c r="AV77" s="5">
        <f t="shared" si="137"/>
        <v>1.217557251908397</v>
      </c>
      <c r="AW77" s="180">
        <f t="shared" si="160"/>
        <v>0.13551724137931032</v>
      </c>
      <c r="AX77" s="180">
        <f t="shared" si="138"/>
        <v>0.47159999999999991</v>
      </c>
      <c r="AY77" s="180">
        <f t="shared" si="139"/>
        <v>0.25069999999999998</v>
      </c>
      <c r="AZ77" s="180">
        <f t="shared" si="161"/>
        <v>1.8811328280813719</v>
      </c>
      <c r="BA77" s="473">
        <f t="shared" si="140"/>
        <v>0.75952380952380949</v>
      </c>
      <c r="BB77" s="5">
        <f t="shared" si="141"/>
        <v>7.4190667408821021E-2</v>
      </c>
      <c r="BC77" s="5"/>
      <c r="BD77" s="180">
        <f t="shared" si="162"/>
        <v>6.1636028424939891E-2</v>
      </c>
      <c r="BE77" s="180">
        <f t="shared" si="142"/>
        <v>0.31134760852354937</v>
      </c>
      <c r="BF77" s="180"/>
      <c r="BG77" s="547">
        <f t="shared" si="143"/>
        <v>1.3296499999999993E-3</v>
      </c>
      <c r="BH77" s="547">
        <f t="shared" si="144"/>
        <v>2.1939009404388712E-2</v>
      </c>
      <c r="BI77" s="547">
        <f t="shared" si="145"/>
        <v>2.5489136309588146E-3</v>
      </c>
      <c r="BJ77" s="547">
        <f t="shared" si="146"/>
        <v>1.61384109696249E-2</v>
      </c>
      <c r="BK77">
        <f t="shared" si="147"/>
        <v>6.96E-3</v>
      </c>
      <c r="BL77" s="473">
        <f t="shared" si="163"/>
        <v>48.915984004972429</v>
      </c>
      <c r="BM77" s="547">
        <f t="shared" si="148"/>
        <v>2.5199999999999997E-2</v>
      </c>
      <c r="BN77" s="547"/>
      <c r="BP77" s="473">
        <f t="shared" si="164"/>
        <v>25.199999999999996</v>
      </c>
      <c r="BQ77" s="547">
        <f t="shared" si="149"/>
        <v>4.1788999999999981E-4</v>
      </c>
      <c r="BR77" s="547">
        <f t="shared" si="150"/>
        <v>3.3928066666666676E-3</v>
      </c>
      <c r="BS77" s="547">
        <f t="shared" si="151"/>
        <v>1.3445525047153268E-3</v>
      </c>
      <c r="BT77" s="547">
        <f t="shared" si="152"/>
        <v>1.7149090909090905E-2</v>
      </c>
      <c r="BU77" s="473">
        <f t="shared" si="165"/>
        <v>22.304340080472898</v>
      </c>
      <c r="BV77" s="180">
        <f t="shared" si="166"/>
        <v>9.6420324085445319E-2</v>
      </c>
      <c r="BW77" s="5">
        <f t="shared" si="167"/>
        <v>0.45359999999999995</v>
      </c>
      <c r="BX77" s="180">
        <f t="shared" si="168"/>
        <v>0.82469679780329985</v>
      </c>
      <c r="BY77" s="5">
        <f t="shared" si="169"/>
        <v>82.469679780329983</v>
      </c>
      <c r="CB77" s="582">
        <f t="shared" si="153"/>
        <v>-50</v>
      </c>
      <c r="CC77">
        <f t="shared" si="154"/>
        <v>-50</v>
      </c>
    </row>
    <row r="78" spans="5:81" x14ac:dyDescent="0.25">
      <c r="E78" s="177">
        <v>73</v>
      </c>
      <c r="F78" s="224">
        <f t="shared" si="155"/>
        <v>7.2999999999999995E-2</v>
      </c>
      <c r="G78" s="224"/>
      <c r="H78" s="224">
        <f t="shared" si="109"/>
        <v>0.45989999999999998</v>
      </c>
      <c r="I78" s="560">
        <f t="shared" si="110"/>
        <v>24</v>
      </c>
      <c r="J78" s="179">
        <f t="shared" si="111"/>
        <v>13.1</v>
      </c>
      <c r="K78" s="455">
        <f t="shared" si="112"/>
        <v>37.1</v>
      </c>
      <c r="L78" s="455"/>
      <c r="M78" s="224">
        <f t="shared" si="113"/>
        <v>0.35309973045822102</v>
      </c>
      <c r="N78" s="179">
        <f t="shared" si="114"/>
        <v>5.5295417789757408</v>
      </c>
      <c r="O78" s="179">
        <f t="shared" si="156"/>
        <v>0.45989999999999998</v>
      </c>
      <c r="P78" s="224">
        <f t="shared" si="115"/>
        <v>0.87770504428186369</v>
      </c>
      <c r="Q78" s="224">
        <f t="shared" si="116"/>
        <v>6.3</v>
      </c>
      <c r="R78" s="224">
        <f t="shared" si="117"/>
        <v>0.97522782697984844</v>
      </c>
      <c r="S78" s="179">
        <f t="shared" si="118"/>
        <v>202.53534191390008</v>
      </c>
      <c r="T78" s="179">
        <f t="shared" si="119"/>
        <v>6.3</v>
      </c>
      <c r="U78" s="224">
        <f t="shared" si="120"/>
        <v>0.12059860050890583</v>
      </c>
      <c r="V78" s="224">
        <f t="shared" si="121"/>
        <v>0.27637179283290925</v>
      </c>
      <c r="W78" s="224">
        <f t="shared" si="122"/>
        <v>0.5063300021366276</v>
      </c>
      <c r="X78" s="204">
        <f t="shared" si="123"/>
        <v>350</v>
      </c>
      <c r="Y78" s="455">
        <f t="shared" si="157"/>
        <v>350</v>
      </c>
      <c r="AA78" s="224">
        <f t="shared" si="124"/>
        <v>0.44022823537648331</v>
      </c>
      <c r="AB78" s="180">
        <f t="shared" si="125"/>
        <v>1.8482864844050828</v>
      </c>
      <c r="AC78" s="180">
        <f t="shared" si="126"/>
        <v>0.28478376412494877</v>
      </c>
      <c r="AD78" s="180"/>
      <c r="AE78" s="180">
        <f t="shared" si="127"/>
        <v>1.217557251908397</v>
      </c>
      <c r="AF78" s="564">
        <f t="shared" si="170"/>
        <v>206.74521673332609</v>
      </c>
      <c r="AG78" s="547">
        <f t="shared" si="128"/>
        <v>0.1235820610687023</v>
      </c>
      <c r="AI78" s="180">
        <f t="shared" si="129"/>
        <v>0.23494188898042678</v>
      </c>
      <c r="AJ78" s="180">
        <f t="shared" si="130"/>
        <v>0.28999999999999998</v>
      </c>
      <c r="AK78" s="180">
        <f t="shared" si="131"/>
        <v>1.118140123847615</v>
      </c>
      <c r="AM78" s="564">
        <f t="shared" si="132"/>
        <v>73</v>
      </c>
      <c r="AN78" s="473">
        <f t="shared" si="133"/>
        <v>206.74521673332609</v>
      </c>
      <c r="AP78">
        <f t="shared" si="134"/>
        <v>73</v>
      </c>
      <c r="AQ78">
        <f t="shared" si="135"/>
        <v>206.74521673332609</v>
      </c>
      <c r="AS78" s="5">
        <f t="shared" si="158"/>
        <v>4.836871274704591</v>
      </c>
      <c r="AT78" s="5">
        <f t="shared" si="136"/>
        <v>0.6645833333333333</v>
      </c>
      <c r="AU78" s="5">
        <f t="shared" si="159"/>
        <v>4.1722879413712572</v>
      </c>
      <c r="AV78" s="5">
        <f t="shared" si="137"/>
        <v>1.217557251908397</v>
      </c>
      <c r="AW78" s="180">
        <f t="shared" si="160"/>
        <v>0.1373994252873563</v>
      </c>
      <c r="AX78" s="180">
        <f t="shared" si="138"/>
        <v>0.47814999999999996</v>
      </c>
      <c r="AY78" s="180">
        <f t="shared" si="139"/>
        <v>0.25015416666666668</v>
      </c>
      <c r="AZ78" s="180">
        <f t="shared" si="161"/>
        <v>1.9114212902043737</v>
      </c>
      <c r="BA78" s="473">
        <f t="shared" si="140"/>
        <v>0.77007275132275121</v>
      </c>
      <c r="BB78" s="5">
        <f t="shared" si="141"/>
        <v>7.4029136737524731E-2</v>
      </c>
      <c r="BC78" s="5"/>
      <c r="BD78" s="180">
        <f t="shared" si="162"/>
        <v>6.2062580424027548E-2</v>
      </c>
      <c r="BE78" s="180">
        <f t="shared" si="142"/>
        <v>0.3110084850575266</v>
      </c>
      <c r="BF78" s="180"/>
      <c r="BG78" s="547">
        <f t="shared" si="143"/>
        <v>1.3481173611111107E-3</v>
      </c>
      <c r="BH78" s="547">
        <f t="shared" si="144"/>
        <v>2.2243717868338553E-2</v>
      </c>
      <c r="BI78" s="547">
        <f t="shared" si="145"/>
        <v>2.5843152091665758E-3</v>
      </c>
      <c r="BJ78" s="547">
        <f t="shared" si="146"/>
        <v>1.6362555566425248E-2</v>
      </c>
      <c r="BK78">
        <f t="shared" si="147"/>
        <v>6.96E-3</v>
      </c>
      <c r="BL78" s="473">
        <f t="shared" si="163"/>
        <v>49.498706005041491</v>
      </c>
      <c r="BM78" s="547">
        <f t="shared" si="148"/>
        <v>2.5549999999999996E-2</v>
      </c>
      <c r="BN78" s="547"/>
      <c r="BP78" s="473">
        <f t="shared" si="164"/>
        <v>25.549999999999997</v>
      </c>
      <c r="BQ78" s="547">
        <f t="shared" si="149"/>
        <v>4.2369402777777765E-4</v>
      </c>
      <c r="BR78" s="547">
        <f t="shared" si="150"/>
        <v>3.3854197222222215E-3</v>
      </c>
      <c r="BS78" s="547">
        <f t="shared" si="151"/>
        <v>1.3917257902934424E-3</v>
      </c>
      <c r="BT78" s="547">
        <f t="shared" si="152"/>
        <v>1.7387272727272727E-2</v>
      </c>
      <c r="BU78" s="473">
        <f t="shared" si="165"/>
        <v>22.588112267566167</v>
      </c>
      <c r="BV78" s="180">
        <f t="shared" si="166"/>
        <v>9.7636818272607659E-2</v>
      </c>
      <c r="BW78" s="5">
        <f t="shared" si="167"/>
        <v>0.45989999999999998</v>
      </c>
      <c r="BX78" s="180">
        <f t="shared" si="168"/>
        <v>0.82487825902671041</v>
      </c>
      <c r="BY78" s="5">
        <f t="shared" si="169"/>
        <v>82.487825902671048</v>
      </c>
      <c r="CB78" s="582">
        <f t="shared" si="153"/>
        <v>-50</v>
      </c>
      <c r="CC78">
        <f t="shared" si="154"/>
        <v>-50</v>
      </c>
    </row>
    <row r="79" spans="5:81" x14ac:dyDescent="0.25">
      <c r="E79" s="177">
        <v>74</v>
      </c>
      <c r="F79" s="224">
        <f t="shared" si="155"/>
        <v>7.3999999999999996E-2</v>
      </c>
      <c r="G79" s="224"/>
      <c r="H79" s="224">
        <f t="shared" si="109"/>
        <v>0.46619999999999995</v>
      </c>
      <c r="I79" s="560">
        <f t="shared" si="110"/>
        <v>24</v>
      </c>
      <c r="J79" s="179">
        <f t="shared" si="111"/>
        <v>13.1</v>
      </c>
      <c r="K79" s="455">
        <f t="shared" si="112"/>
        <v>37.1</v>
      </c>
      <c r="L79" s="455"/>
      <c r="M79" s="224">
        <f t="shared" si="113"/>
        <v>0.35309973045822102</v>
      </c>
      <c r="N79" s="179">
        <f t="shared" si="114"/>
        <v>5.5295417789757408</v>
      </c>
      <c r="O79" s="179">
        <f t="shared" si="156"/>
        <v>0.46619999999999995</v>
      </c>
      <c r="P79" s="224">
        <f t="shared" si="115"/>
        <v>0.87770504428186369</v>
      </c>
      <c r="Q79" s="224">
        <f t="shared" si="116"/>
        <v>6.3</v>
      </c>
      <c r="R79" s="224">
        <f t="shared" si="117"/>
        <v>0.97522782697984844</v>
      </c>
      <c r="S79" s="179">
        <f t="shared" si="118"/>
        <v>199.63663012918445</v>
      </c>
      <c r="T79" s="179">
        <f t="shared" si="119"/>
        <v>6.3</v>
      </c>
      <c r="U79" s="224">
        <f t="shared" si="120"/>
        <v>0.1222506361323155</v>
      </c>
      <c r="V79" s="224">
        <f t="shared" si="121"/>
        <v>0.28015770780322308</v>
      </c>
      <c r="W79" s="224">
        <f t="shared" si="122"/>
        <v>0.51326602956315681</v>
      </c>
      <c r="X79" s="204">
        <f t="shared" si="123"/>
        <v>350</v>
      </c>
      <c r="Y79" s="455">
        <f t="shared" si="157"/>
        <v>350</v>
      </c>
      <c r="AA79" s="224">
        <f t="shared" si="124"/>
        <v>0.44022823537648331</v>
      </c>
      <c r="AB79" s="180">
        <f t="shared" si="125"/>
        <v>1.8482864844050828</v>
      </c>
      <c r="AC79" s="180">
        <f t="shared" si="126"/>
        <v>0.28478376412494877</v>
      </c>
      <c r="AD79" s="180"/>
      <c r="AE79" s="180">
        <f t="shared" si="127"/>
        <v>1.217557251908397</v>
      </c>
      <c r="AF79" s="564">
        <f t="shared" si="170"/>
        <v>209.577342989947</v>
      </c>
      <c r="AG79" s="547">
        <f t="shared" si="128"/>
        <v>0.1235820610687023</v>
      </c>
      <c r="AI79" s="180">
        <f t="shared" si="129"/>
        <v>0.23654560649867065</v>
      </c>
      <c r="AJ79" s="180">
        <f t="shared" si="130"/>
        <v>0.28999999999999998</v>
      </c>
      <c r="AK79" s="180">
        <f t="shared" si="131"/>
        <v>1.1197584817085411</v>
      </c>
      <c r="AM79" s="564">
        <f t="shared" si="132"/>
        <v>74</v>
      </c>
      <c r="AN79" s="473">
        <f t="shared" si="133"/>
        <v>209.577342989947</v>
      </c>
      <c r="AP79">
        <f t="shared" si="134"/>
        <v>74</v>
      </c>
      <c r="AQ79">
        <f t="shared" si="135"/>
        <v>209.577342989947</v>
      </c>
      <c r="AS79" s="5">
        <f t="shared" si="158"/>
        <v>4.7715081493707459</v>
      </c>
      <c r="AT79" s="5">
        <f t="shared" si="136"/>
        <v>0.6645833333333333</v>
      </c>
      <c r="AU79" s="5">
        <f t="shared" si="159"/>
        <v>4.106924816037413</v>
      </c>
      <c r="AV79" s="5">
        <f t="shared" si="137"/>
        <v>1.217557251908397</v>
      </c>
      <c r="AW79" s="180">
        <f t="shared" si="160"/>
        <v>0.13928160919540225</v>
      </c>
      <c r="AX79" s="180">
        <f t="shared" si="138"/>
        <v>0.48469999999999991</v>
      </c>
      <c r="AY79" s="180">
        <f t="shared" si="139"/>
        <v>0.24960833333333335</v>
      </c>
      <c r="AZ79" s="180">
        <f t="shared" si="161"/>
        <v>1.9418422194771805</v>
      </c>
      <c r="BA79" s="473">
        <f t="shared" si="140"/>
        <v>0.78062169312169305</v>
      </c>
      <c r="BB79" s="5">
        <f t="shared" si="141"/>
        <v>7.3867606066228456E-2</v>
      </c>
      <c r="BC79" s="5"/>
      <c r="BD79" s="180">
        <f t="shared" si="162"/>
        <v>6.2486220703270062E-2</v>
      </c>
      <c r="BE79" s="180">
        <f t="shared" si="142"/>
        <v>0.31066899140761089</v>
      </c>
      <c r="BF79" s="180"/>
      <c r="BG79" s="547">
        <f t="shared" si="143"/>
        <v>1.3665847222222216E-3</v>
      </c>
      <c r="BH79" s="547">
        <f t="shared" si="144"/>
        <v>2.2548426332288398E-2</v>
      </c>
      <c r="BI79" s="547">
        <f t="shared" si="145"/>
        <v>2.6197167873743374E-3</v>
      </c>
      <c r="BJ79" s="547">
        <f t="shared" si="146"/>
        <v>1.6586700163225596E-2</v>
      </c>
      <c r="BK79">
        <f t="shared" si="147"/>
        <v>6.96E-3</v>
      </c>
      <c r="BL79" s="473">
        <f t="shared" si="163"/>
        <v>50.081428005110553</v>
      </c>
      <c r="BM79" s="547">
        <f t="shared" si="148"/>
        <v>2.5899999999999996E-2</v>
      </c>
      <c r="BN79" s="547"/>
      <c r="BP79" s="473">
        <f t="shared" si="164"/>
        <v>25.899999999999995</v>
      </c>
      <c r="BQ79" s="547">
        <f t="shared" si="149"/>
        <v>4.2949805555555538E-4</v>
      </c>
      <c r="BR79" s="547">
        <f t="shared" si="150"/>
        <v>3.3780327777777775E-3</v>
      </c>
      <c r="BS79" s="547">
        <f t="shared" si="151"/>
        <v>1.4398784249633108E-3</v>
      </c>
      <c r="BT79" s="547">
        <f t="shared" si="152"/>
        <v>1.7625454545454545E-2</v>
      </c>
      <c r="BU79" s="473">
        <f t="shared" si="165"/>
        <v>22.872863803751187</v>
      </c>
      <c r="BV79" s="180">
        <f t="shared" si="166"/>
        <v>9.8854291808861738E-2</v>
      </c>
      <c r="BW79" s="5">
        <f t="shared" si="167"/>
        <v>0.46619999999999995</v>
      </c>
      <c r="BX79" s="180">
        <f t="shared" si="168"/>
        <v>0.82505346257541434</v>
      </c>
      <c r="BY79" s="5">
        <f t="shared" si="169"/>
        <v>82.505346257541433</v>
      </c>
      <c r="CB79" s="582">
        <f t="shared" si="153"/>
        <v>-50</v>
      </c>
      <c r="CC79">
        <f t="shared" si="154"/>
        <v>-50</v>
      </c>
    </row>
    <row r="80" spans="5:81" x14ac:dyDescent="0.25">
      <c r="E80" s="177">
        <v>75</v>
      </c>
      <c r="F80" s="224">
        <f t="shared" si="155"/>
        <v>7.5000000000000011E-2</v>
      </c>
      <c r="G80" s="224"/>
      <c r="H80" s="224">
        <f t="shared" si="109"/>
        <v>0.47250000000000003</v>
      </c>
      <c r="I80" s="560">
        <f t="shared" si="110"/>
        <v>24</v>
      </c>
      <c r="J80" s="179">
        <f t="shared" si="111"/>
        <v>13.1</v>
      </c>
      <c r="K80" s="455">
        <f t="shared" si="112"/>
        <v>37.1</v>
      </c>
      <c r="L80" s="455"/>
      <c r="M80" s="224">
        <f t="shared" si="113"/>
        <v>0.35309973045822102</v>
      </c>
      <c r="N80" s="179">
        <f t="shared" si="114"/>
        <v>5.5295417789757408</v>
      </c>
      <c r="O80" s="179">
        <f t="shared" si="156"/>
        <v>0.47250000000000003</v>
      </c>
      <c r="P80" s="224">
        <f t="shared" si="115"/>
        <v>0.87770504428186369</v>
      </c>
      <c r="Q80" s="224">
        <f t="shared" si="116"/>
        <v>6.3</v>
      </c>
      <c r="R80" s="224">
        <f t="shared" si="117"/>
        <v>0.97522782697984844</v>
      </c>
      <c r="S80" s="179">
        <f t="shared" si="118"/>
        <v>196.81522338618882</v>
      </c>
      <c r="T80" s="179">
        <f t="shared" si="119"/>
        <v>6.3</v>
      </c>
      <c r="U80" s="224">
        <f t="shared" si="120"/>
        <v>0.1239026717557252</v>
      </c>
      <c r="V80" s="224">
        <f t="shared" si="121"/>
        <v>0.28394362277353691</v>
      </c>
      <c r="W80" s="224">
        <f t="shared" si="122"/>
        <v>0.52020205698968591</v>
      </c>
      <c r="X80" s="204">
        <f t="shared" si="123"/>
        <v>350</v>
      </c>
      <c r="Y80" s="455">
        <f t="shared" si="157"/>
        <v>350</v>
      </c>
      <c r="AA80" s="224">
        <f t="shared" si="124"/>
        <v>0.44022823537648331</v>
      </c>
      <c r="AB80" s="180">
        <f t="shared" si="125"/>
        <v>1.8482864844050828</v>
      </c>
      <c r="AC80" s="180">
        <f t="shared" si="126"/>
        <v>0.28478376412494877</v>
      </c>
      <c r="AD80" s="180"/>
      <c r="AE80" s="180">
        <f t="shared" si="127"/>
        <v>1.217557251908397</v>
      </c>
      <c r="AF80" s="564">
        <f t="shared" si="170"/>
        <v>212.40946924656794</v>
      </c>
      <c r="AG80" s="547">
        <f t="shared" si="128"/>
        <v>0.1235820610687023</v>
      </c>
      <c r="AI80" s="180">
        <f t="shared" si="129"/>
        <v>0.23813852420378503</v>
      </c>
      <c r="AJ80" s="180">
        <f t="shared" si="130"/>
        <v>0.28999999999999998</v>
      </c>
      <c r="AK80" s="180">
        <f t="shared" si="131"/>
        <v>1.1213768395694674</v>
      </c>
      <c r="AM80" s="564">
        <f t="shared" si="132"/>
        <v>75.000000000000014</v>
      </c>
      <c r="AN80" s="473">
        <f t="shared" si="133"/>
        <v>212.40946924656794</v>
      </c>
      <c r="AP80">
        <f t="shared" si="134"/>
        <v>75.000000000000014</v>
      </c>
      <c r="AQ80">
        <f t="shared" si="135"/>
        <v>212.40946924656794</v>
      </c>
      <c r="AS80" s="5">
        <f t="shared" si="158"/>
        <v>4.7078880407124686</v>
      </c>
      <c r="AT80" s="5">
        <f t="shared" si="136"/>
        <v>0.6645833333333333</v>
      </c>
      <c r="AU80" s="5">
        <f t="shared" si="159"/>
        <v>4.0433047073791357</v>
      </c>
      <c r="AV80" s="5">
        <f t="shared" si="137"/>
        <v>1.217557251908397</v>
      </c>
      <c r="AW80" s="180">
        <f t="shared" si="160"/>
        <v>0.14116379310344826</v>
      </c>
      <c r="AX80" s="180">
        <f t="shared" si="138"/>
        <v>0.49125000000000002</v>
      </c>
      <c r="AY80" s="180">
        <f t="shared" si="139"/>
        <v>0.24906249999999999</v>
      </c>
      <c r="AZ80" s="180">
        <f t="shared" si="161"/>
        <v>1.9723964868255961</v>
      </c>
      <c r="BA80" s="473">
        <f t="shared" si="140"/>
        <v>0.79117063492063511</v>
      </c>
      <c r="BB80" s="5">
        <f t="shared" si="141"/>
        <v>7.3706075394932152E-2</v>
      </c>
      <c r="BC80" s="5"/>
      <c r="BD80" s="180">
        <f t="shared" si="162"/>
        <v>6.2907008088659455E-2</v>
      </c>
      <c r="BE80" s="180">
        <f t="shared" si="142"/>
        <v>0.31032912635888155</v>
      </c>
      <c r="BF80" s="180"/>
      <c r="BG80" s="547">
        <f t="shared" si="143"/>
        <v>1.3850520833333332E-3</v>
      </c>
      <c r="BH80" s="547">
        <f t="shared" si="144"/>
        <v>2.285313479623825E-2</v>
      </c>
      <c r="BI80" s="547">
        <f t="shared" si="145"/>
        <v>2.655118365582099E-3</v>
      </c>
      <c r="BJ80" s="547">
        <f t="shared" si="146"/>
        <v>1.6810844760025947E-2</v>
      </c>
      <c r="BK80">
        <f t="shared" si="147"/>
        <v>6.96E-3</v>
      </c>
      <c r="BL80" s="473">
        <f t="shared" si="163"/>
        <v>50.664150005179636</v>
      </c>
      <c r="BM80" s="547">
        <f t="shared" si="148"/>
        <v>2.6250000000000002E-2</v>
      </c>
      <c r="BN80" s="547"/>
      <c r="BP80" s="473">
        <f t="shared" si="164"/>
        <v>26.250000000000004</v>
      </c>
      <c r="BQ80" s="547">
        <f t="shared" si="149"/>
        <v>4.3530208333333328E-4</v>
      </c>
      <c r="BR80" s="547">
        <f t="shared" si="150"/>
        <v>3.3706458333333336E-3</v>
      </c>
      <c r="BS80" s="547">
        <f t="shared" si="151"/>
        <v>1.4890170938827545E-3</v>
      </c>
      <c r="BT80" s="547">
        <f t="shared" si="152"/>
        <v>1.7863636363636366E-2</v>
      </c>
      <c r="BU80" s="473">
        <f t="shared" si="165"/>
        <v>23.158601374185789</v>
      </c>
      <c r="BV80" s="180">
        <f t="shared" si="166"/>
        <v>0.10007275137936544</v>
      </c>
      <c r="BW80" s="5">
        <f t="shared" si="167"/>
        <v>0.47250000000000003</v>
      </c>
      <c r="BX80" s="180">
        <f t="shared" si="168"/>
        <v>0.82522264439185489</v>
      </c>
      <c r="BY80" s="5">
        <f t="shared" si="169"/>
        <v>82.522264439185491</v>
      </c>
      <c r="CB80" s="582">
        <f t="shared" si="153"/>
        <v>-50</v>
      </c>
      <c r="CC80">
        <f t="shared" si="154"/>
        <v>-50</v>
      </c>
    </row>
    <row r="81" spans="5:81" x14ac:dyDescent="0.25">
      <c r="E81" s="177">
        <v>76</v>
      </c>
      <c r="F81" s="224">
        <f t="shared" si="155"/>
        <v>7.6000000000000012E-2</v>
      </c>
      <c r="G81" s="224"/>
      <c r="H81" s="224">
        <f t="shared" si="109"/>
        <v>0.47880000000000006</v>
      </c>
      <c r="I81" s="560">
        <f t="shared" si="110"/>
        <v>24</v>
      </c>
      <c r="J81" s="179">
        <f t="shared" si="111"/>
        <v>13.1</v>
      </c>
      <c r="K81" s="455">
        <f t="shared" si="112"/>
        <v>37.1</v>
      </c>
      <c r="L81" s="455"/>
      <c r="M81" s="224">
        <f t="shared" si="113"/>
        <v>0.35309973045822102</v>
      </c>
      <c r="N81" s="179">
        <f t="shared" si="114"/>
        <v>5.5295417789757408</v>
      </c>
      <c r="O81" s="179">
        <f t="shared" si="156"/>
        <v>0.47880000000000006</v>
      </c>
      <c r="P81" s="224">
        <f t="shared" si="115"/>
        <v>0.87770504428186369</v>
      </c>
      <c r="Q81" s="224">
        <f t="shared" si="116"/>
        <v>6.3</v>
      </c>
      <c r="R81" s="224">
        <f t="shared" si="117"/>
        <v>0.97522782697984844</v>
      </c>
      <c r="S81" s="179">
        <f t="shared" si="118"/>
        <v>194.06807018430786</v>
      </c>
      <c r="T81" s="179">
        <f t="shared" si="119"/>
        <v>6.3</v>
      </c>
      <c r="U81" s="224">
        <f t="shared" si="120"/>
        <v>0.12555470737913488</v>
      </c>
      <c r="V81" s="224">
        <f t="shared" si="121"/>
        <v>0.28772953774385074</v>
      </c>
      <c r="W81" s="224">
        <f t="shared" si="122"/>
        <v>0.52713808441621512</v>
      </c>
      <c r="X81" s="204">
        <f t="shared" si="123"/>
        <v>350</v>
      </c>
      <c r="Y81" s="455">
        <f t="shared" si="157"/>
        <v>350</v>
      </c>
      <c r="AA81" s="224">
        <f t="shared" si="124"/>
        <v>0.44022823537648331</v>
      </c>
      <c r="AB81" s="180">
        <f t="shared" si="125"/>
        <v>1.8482864844050828</v>
      </c>
      <c r="AC81" s="180">
        <f t="shared" si="126"/>
        <v>0.28478376412494877</v>
      </c>
      <c r="AD81" s="180"/>
      <c r="AE81" s="180">
        <f t="shared" si="127"/>
        <v>1.217557251908397</v>
      </c>
      <c r="AF81" s="564">
        <f t="shared" si="170"/>
        <v>215.24159550318885</v>
      </c>
      <c r="AG81" s="547">
        <f t="shared" si="128"/>
        <v>0.1235820610687023</v>
      </c>
      <c r="AI81" s="180">
        <f t="shared" si="129"/>
        <v>0.23972085738643908</v>
      </c>
      <c r="AJ81" s="180">
        <f t="shared" si="130"/>
        <v>0.28999999999999998</v>
      </c>
      <c r="AK81" s="180">
        <f t="shared" si="131"/>
        <v>1.1229951974303936</v>
      </c>
      <c r="AM81" s="564">
        <f t="shared" si="132"/>
        <v>76.000000000000014</v>
      </c>
      <c r="AN81" s="473">
        <f t="shared" si="133"/>
        <v>215.24159550318885</v>
      </c>
      <c r="AP81">
        <f t="shared" si="134"/>
        <v>76.000000000000014</v>
      </c>
      <c r="AQ81">
        <f t="shared" si="135"/>
        <v>215.24159550318885</v>
      </c>
      <c r="AS81" s="5">
        <f t="shared" si="158"/>
        <v>4.6459421454399354</v>
      </c>
      <c r="AT81" s="5">
        <f t="shared" si="136"/>
        <v>0.6645833333333333</v>
      </c>
      <c r="AU81" s="5">
        <f t="shared" si="159"/>
        <v>3.9813588121066021</v>
      </c>
      <c r="AV81" s="5">
        <f t="shared" si="137"/>
        <v>1.217557251908397</v>
      </c>
      <c r="AW81" s="180">
        <f t="shared" si="160"/>
        <v>0.14304597701149427</v>
      </c>
      <c r="AX81" s="180">
        <f t="shared" si="138"/>
        <v>0.49779999999999996</v>
      </c>
      <c r="AY81" s="180">
        <f t="shared" si="139"/>
        <v>0.24851666666666666</v>
      </c>
      <c r="AZ81" s="180">
        <f t="shared" si="161"/>
        <v>2.0030849708269063</v>
      </c>
      <c r="BA81" s="473">
        <f t="shared" si="140"/>
        <v>0.80171957671957672</v>
      </c>
      <c r="BB81" s="5">
        <f t="shared" si="141"/>
        <v>7.3544544723635835E-2</v>
      </c>
      <c r="BC81" s="5"/>
      <c r="BD81" s="180">
        <f t="shared" si="162"/>
        <v>6.332499945168224E-2</v>
      </c>
      <c r="BE81" s="180">
        <f t="shared" si="142"/>
        <v>0.30998888868975788</v>
      </c>
      <c r="BF81" s="180"/>
      <c r="BG81" s="547">
        <f t="shared" si="143"/>
        <v>1.4035194444444443E-3</v>
      </c>
      <c r="BH81" s="547">
        <f t="shared" si="144"/>
        <v>2.3157843260188091E-2</v>
      </c>
      <c r="BI81" s="547">
        <f t="shared" si="145"/>
        <v>2.6905199437898602E-3</v>
      </c>
      <c r="BJ81" s="547">
        <f t="shared" si="146"/>
        <v>1.7034989356826288E-2</v>
      </c>
      <c r="BK81">
        <f t="shared" si="147"/>
        <v>6.96E-3</v>
      </c>
      <c r="BL81" s="473">
        <f t="shared" si="163"/>
        <v>51.246872005248683</v>
      </c>
      <c r="BM81" s="547">
        <f t="shared" si="148"/>
        <v>2.6600000000000002E-2</v>
      </c>
      <c r="BN81" s="547"/>
      <c r="BP81" s="473">
        <f t="shared" si="164"/>
        <v>26.6</v>
      </c>
      <c r="BQ81" s="547">
        <f t="shared" si="149"/>
        <v>4.4110611111111112E-4</v>
      </c>
      <c r="BR81" s="547">
        <f t="shared" si="150"/>
        <v>3.3632588888888888E-3</v>
      </c>
      <c r="BS81" s="547">
        <f t="shared" si="151"/>
        <v>1.5391484371881157E-3</v>
      </c>
      <c r="BT81" s="547">
        <f t="shared" si="152"/>
        <v>1.8101818181818184E-2</v>
      </c>
      <c r="BU81" s="473">
        <f t="shared" si="165"/>
        <v>23.445331619006296</v>
      </c>
      <c r="BV81" s="180">
        <f t="shared" si="166"/>
        <v>0.10129220362425498</v>
      </c>
      <c r="BW81" s="5">
        <f t="shared" si="167"/>
        <v>0.47880000000000006</v>
      </c>
      <c r="BX81" s="180">
        <f t="shared" si="168"/>
        <v>0.82538602830479457</v>
      </c>
      <c r="BY81" s="5">
        <f t="shared" si="169"/>
        <v>82.538602830479462</v>
      </c>
      <c r="CB81" s="582">
        <f t="shared" si="153"/>
        <v>-50</v>
      </c>
      <c r="CC81">
        <f t="shared" si="154"/>
        <v>-50</v>
      </c>
    </row>
    <row r="82" spans="5:81" x14ac:dyDescent="0.25">
      <c r="E82" s="177">
        <v>77</v>
      </c>
      <c r="F82" s="224">
        <f t="shared" si="155"/>
        <v>7.7000000000000013E-2</v>
      </c>
      <c r="G82" s="224"/>
      <c r="H82" s="224">
        <f t="shared" si="109"/>
        <v>0.48510000000000009</v>
      </c>
      <c r="I82" s="560">
        <f t="shared" si="110"/>
        <v>24</v>
      </c>
      <c r="J82" s="179">
        <f t="shared" si="111"/>
        <v>13.1</v>
      </c>
      <c r="K82" s="455">
        <f t="shared" si="112"/>
        <v>37.1</v>
      </c>
      <c r="L82" s="455"/>
      <c r="M82" s="224">
        <f t="shared" si="113"/>
        <v>0.35309973045822102</v>
      </c>
      <c r="N82" s="179">
        <f t="shared" si="114"/>
        <v>5.5295417789757408</v>
      </c>
      <c r="O82" s="179">
        <f t="shared" si="156"/>
        <v>0.48510000000000009</v>
      </c>
      <c r="P82" s="224">
        <f t="shared" si="115"/>
        <v>0.87770504428186369</v>
      </c>
      <c r="Q82" s="224">
        <f t="shared" si="116"/>
        <v>6.3</v>
      </c>
      <c r="R82" s="224">
        <f t="shared" si="117"/>
        <v>0.97522782697984844</v>
      </c>
      <c r="S82" s="179">
        <f t="shared" si="118"/>
        <v>191.39227754249148</v>
      </c>
      <c r="T82" s="179">
        <f t="shared" si="119"/>
        <v>6.3</v>
      </c>
      <c r="U82" s="224">
        <f t="shared" si="120"/>
        <v>0.12720674300254456</v>
      </c>
      <c r="V82" s="224">
        <f t="shared" si="121"/>
        <v>0.29151545271416462</v>
      </c>
      <c r="W82" s="224">
        <f t="shared" si="122"/>
        <v>0.53407411184274445</v>
      </c>
      <c r="X82" s="204">
        <f t="shared" si="123"/>
        <v>350</v>
      </c>
      <c r="Y82" s="455">
        <f t="shared" si="157"/>
        <v>350</v>
      </c>
      <c r="AA82" s="224">
        <f t="shared" si="124"/>
        <v>0.44022823537648331</v>
      </c>
      <c r="AB82" s="180">
        <f t="shared" si="125"/>
        <v>1.8482864844050828</v>
      </c>
      <c r="AC82" s="180">
        <f t="shared" si="126"/>
        <v>0.28478376412494877</v>
      </c>
      <c r="AD82" s="180"/>
      <c r="AE82" s="180">
        <f t="shared" si="127"/>
        <v>1.217557251908397</v>
      </c>
      <c r="AF82" s="564">
        <f t="shared" si="170"/>
        <v>218.07372175980976</v>
      </c>
      <c r="AG82" s="547">
        <f t="shared" si="128"/>
        <v>0.1235820610687023</v>
      </c>
      <c r="AI82" s="180">
        <f t="shared" si="129"/>
        <v>0.24129281427805144</v>
      </c>
      <c r="AJ82" s="180">
        <f t="shared" si="130"/>
        <v>0.28999999999999998</v>
      </c>
      <c r="AK82" s="180">
        <f t="shared" si="131"/>
        <v>1.1246135552913199</v>
      </c>
      <c r="AM82" s="564">
        <f t="shared" si="132"/>
        <v>77.000000000000014</v>
      </c>
      <c r="AN82" s="473">
        <f t="shared" si="133"/>
        <v>218.07372175980976</v>
      </c>
      <c r="AP82">
        <f t="shared" si="134"/>
        <v>77.000000000000014</v>
      </c>
      <c r="AQ82">
        <f t="shared" si="135"/>
        <v>218.07372175980976</v>
      </c>
      <c r="AS82" s="5">
        <f t="shared" si="158"/>
        <v>4.5856052344601963</v>
      </c>
      <c r="AT82" s="5">
        <f t="shared" si="136"/>
        <v>0.6645833333333333</v>
      </c>
      <c r="AU82" s="5">
        <f t="shared" si="159"/>
        <v>3.921021901126863</v>
      </c>
      <c r="AV82" s="5">
        <f t="shared" si="137"/>
        <v>1.217557251908397</v>
      </c>
      <c r="AW82" s="180">
        <f t="shared" si="160"/>
        <v>0.14492816091954022</v>
      </c>
      <c r="AX82" s="180">
        <f t="shared" si="138"/>
        <v>0.50434999999999997</v>
      </c>
      <c r="AY82" s="180">
        <f t="shared" si="139"/>
        <v>0.24797083333333333</v>
      </c>
      <c r="AZ82" s="180">
        <f t="shared" si="161"/>
        <v>2.0339085577940952</v>
      </c>
      <c r="BA82" s="473">
        <f t="shared" si="140"/>
        <v>0.81226851851851856</v>
      </c>
      <c r="BB82" s="5">
        <f t="shared" si="141"/>
        <v>7.3383014052339546E-2</v>
      </c>
      <c r="BC82" s="5"/>
      <c r="BD82" s="180">
        <f t="shared" si="162"/>
        <v>6.374024979904333E-2</v>
      </c>
      <c r="BE82" s="180">
        <f t="shared" si="142"/>
        <v>0.30964827717194798</v>
      </c>
      <c r="BF82" s="180"/>
      <c r="BG82" s="547">
        <f t="shared" si="143"/>
        <v>1.4219868055555551E-3</v>
      </c>
      <c r="BH82" s="547">
        <f t="shared" si="144"/>
        <v>2.3462551724137935E-2</v>
      </c>
      <c r="BI82" s="547">
        <f t="shared" si="145"/>
        <v>2.7259215219976218E-3</v>
      </c>
      <c r="BJ82" s="547">
        <f t="shared" si="146"/>
        <v>1.7259133953626635E-2</v>
      </c>
      <c r="BK82">
        <f t="shared" si="147"/>
        <v>6.96E-3</v>
      </c>
      <c r="BL82" s="473">
        <f t="shared" si="163"/>
        <v>51.829594005317745</v>
      </c>
      <c r="BM82" s="547">
        <f t="shared" si="148"/>
        <v>2.6950000000000002E-2</v>
      </c>
      <c r="BN82" s="547"/>
      <c r="BP82" s="473">
        <f t="shared" si="164"/>
        <v>26.950000000000003</v>
      </c>
      <c r="BQ82" s="547">
        <f t="shared" si="149"/>
        <v>4.469101388888888E-4</v>
      </c>
      <c r="BR82" s="547">
        <f t="shared" si="150"/>
        <v>3.3558719444444435E-3</v>
      </c>
      <c r="BS82" s="547">
        <f t="shared" si="151"/>
        <v>1.5902790508918172E-3</v>
      </c>
      <c r="BT82" s="547">
        <f t="shared" si="152"/>
        <v>1.8340000000000002E-2</v>
      </c>
      <c r="BU82" s="473">
        <f t="shared" si="165"/>
        <v>23.733061134225153</v>
      </c>
      <c r="BV82" s="180">
        <f t="shared" si="166"/>
        <v>0.10251265513954291</v>
      </c>
      <c r="BW82" s="5">
        <f t="shared" si="167"/>
        <v>0.48510000000000009</v>
      </c>
      <c r="BX82" s="180">
        <f t="shared" si="168"/>
        <v>0.82554382679998828</v>
      </c>
      <c r="BY82" s="5">
        <f t="shared" si="169"/>
        <v>82.554382679998824</v>
      </c>
      <c r="CB82" s="582">
        <f t="shared" si="153"/>
        <v>-50</v>
      </c>
      <c r="CC82">
        <f t="shared" si="154"/>
        <v>-50</v>
      </c>
    </row>
    <row r="83" spans="5:81" x14ac:dyDescent="0.25">
      <c r="E83" s="177">
        <v>78</v>
      </c>
      <c r="F83" s="224">
        <f t="shared" si="155"/>
        <v>7.8000000000000014E-2</v>
      </c>
      <c r="G83" s="224"/>
      <c r="H83" s="224">
        <f t="shared" si="109"/>
        <v>0.49140000000000006</v>
      </c>
      <c r="I83" s="560">
        <f t="shared" si="110"/>
        <v>24</v>
      </c>
      <c r="J83" s="179">
        <f t="shared" si="111"/>
        <v>13.1</v>
      </c>
      <c r="K83" s="455">
        <f t="shared" si="112"/>
        <v>37.1</v>
      </c>
      <c r="L83" s="455"/>
      <c r="M83" s="224">
        <f t="shared" si="113"/>
        <v>0.35309973045822102</v>
      </c>
      <c r="N83" s="179">
        <f t="shared" si="114"/>
        <v>5.5295417789757408</v>
      </c>
      <c r="O83" s="179">
        <f t="shared" si="156"/>
        <v>0.49140000000000006</v>
      </c>
      <c r="P83" s="224">
        <f t="shared" si="115"/>
        <v>0.87770504428186369</v>
      </c>
      <c r="Q83" s="224">
        <f t="shared" si="116"/>
        <v>6.3</v>
      </c>
      <c r="R83" s="224">
        <f t="shared" si="117"/>
        <v>0.97522782697984844</v>
      </c>
      <c r="S83" s="179">
        <f t="shared" si="118"/>
        <v>188.78510083773494</v>
      </c>
      <c r="T83" s="179">
        <f t="shared" si="119"/>
        <v>6.3</v>
      </c>
      <c r="U83" s="224">
        <f t="shared" si="120"/>
        <v>0.12885877862595421</v>
      </c>
      <c r="V83" s="224">
        <f t="shared" si="121"/>
        <v>0.2953013676844784</v>
      </c>
      <c r="W83" s="224">
        <f t="shared" si="122"/>
        <v>0.54101013926927344</v>
      </c>
      <c r="X83" s="204">
        <f t="shared" si="123"/>
        <v>350</v>
      </c>
      <c r="Y83" s="455">
        <f t="shared" si="157"/>
        <v>350</v>
      </c>
      <c r="AA83" s="224">
        <f t="shared" si="124"/>
        <v>0.44022823537648331</v>
      </c>
      <c r="AB83" s="180">
        <f t="shared" si="125"/>
        <v>1.8482864844050828</v>
      </c>
      <c r="AC83" s="180">
        <f t="shared" si="126"/>
        <v>0.28478376412494877</v>
      </c>
      <c r="AD83" s="180"/>
      <c r="AE83" s="180">
        <f t="shared" si="127"/>
        <v>1.217557251908397</v>
      </c>
      <c r="AF83" s="564">
        <f t="shared" si="170"/>
        <v>220.90584801643064</v>
      </c>
      <c r="AG83" s="547">
        <f t="shared" si="128"/>
        <v>0.1235820610687023</v>
      </c>
      <c r="AI83" s="180">
        <f t="shared" si="129"/>
        <v>0.24285459637065754</v>
      </c>
      <c r="AJ83" s="180">
        <f t="shared" si="130"/>
        <v>0.28999999999999998</v>
      </c>
      <c r="AK83" s="180">
        <f t="shared" si="131"/>
        <v>1.126231913152246</v>
      </c>
      <c r="AM83" s="564">
        <f t="shared" si="132"/>
        <v>78.000000000000014</v>
      </c>
      <c r="AN83" s="473">
        <f t="shared" si="133"/>
        <v>220.90584801643064</v>
      </c>
      <c r="AP83">
        <f t="shared" si="134"/>
        <v>78.000000000000014</v>
      </c>
      <c r="AQ83">
        <f t="shared" si="135"/>
        <v>220.90584801643064</v>
      </c>
      <c r="AS83" s="5">
        <f t="shared" si="158"/>
        <v>4.5268154237619891</v>
      </c>
      <c r="AT83" s="5">
        <f t="shared" si="136"/>
        <v>0.6645833333333333</v>
      </c>
      <c r="AU83" s="5">
        <f t="shared" si="159"/>
        <v>3.8622320904286558</v>
      </c>
      <c r="AV83" s="5">
        <f t="shared" si="137"/>
        <v>1.217557251908397</v>
      </c>
      <c r="AW83" s="180">
        <f t="shared" si="160"/>
        <v>0.14681034482758618</v>
      </c>
      <c r="AX83" s="180">
        <f t="shared" si="138"/>
        <v>0.51090000000000002</v>
      </c>
      <c r="AY83" s="180">
        <f t="shared" si="139"/>
        <v>0.24742500000000001</v>
      </c>
      <c r="AZ83" s="180">
        <f t="shared" si="161"/>
        <v>2.0648681418611701</v>
      </c>
      <c r="BA83" s="473">
        <f t="shared" si="140"/>
        <v>0.8228174603174605</v>
      </c>
      <c r="BB83" s="5">
        <f t="shared" si="141"/>
        <v>7.322148338104327E-2</v>
      </c>
      <c r="BC83" s="5"/>
      <c r="BD83" s="180">
        <f t="shared" si="162"/>
        <v>6.4152812357162733E-2</v>
      </c>
      <c r="BE83" s="180">
        <f t="shared" si="142"/>
        <v>0.30930729057039696</v>
      </c>
      <c r="BF83" s="180"/>
      <c r="BG83" s="547">
        <f t="shared" si="143"/>
        <v>1.4404541666666658E-3</v>
      </c>
      <c r="BH83" s="547">
        <f t="shared" si="144"/>
        <v>2.3767260188087769E-2</v>
      </c>
      <c r="BI83" s="547">
        <f t="shared" si="145"/>
        <v>2.7613231002053826E-3</v>
      </c>
      <c r="BJ83" s="547">
        <f t="shared" si="146"/>
        <v>1.7483278550426983E-2</v>
      </c>
      <c r="BK83">
        <f t="shared" si="147"/>
        <v>6.96E-3</v>
      </c>
      <c r="BL83" s="473">
        <f t="shared" si="163"/>
        <v>52.412316005386799</v>
      </c>
      <c r="BM83" s="547">
        <f t="shared" si="148"/>
        <v>2.7300000000000005E-2</v>
      </c>
      <c r="BN83" s="547"/>
      <c r="BP83" s="473">
        <f t="shared" si="164"/>
        <v>27.300000000000004</v>
      </c>
      <c r="BQ83" s="547">
        <f t="shared" si="149"/>
        <v>4.5271416666666647E-4</v>
      </c>
      <c r="BR83" s="547">
        <f t="shared" si="150"/>
        <v>3.3484849999999996E-3</v>
      </c>
      <c r="BS83" s="547">
        <f t="shared" si="151"/>
        <v>1.6424154877504634E-3</v>
      </c>
      <c r="BT83" s="547">
        <f t="shared" si="152"/>
        <v>1.857818181818182E-2</v>
      </c>
      <c r="BU83" s="473">
        <f t="shared" si="165"/>
        <v>24.02179647259895</v>
      </c>
      <c r="BV83" s="180">
        <f t="shared" si="166"/>
        <v>0.10373411247798575</v>
      </c>
      <c r="BW83" s="5">
        <f t="shared" si="167"/>
        <v>0.49140000000000006</v>
      </c>
      <c r="BX83" s="180">
        <f t="shared" si="168"/>
        <v>0.82569624173270195</v>
      </c>
      <c r="BY83" s="5">
        <f t="shared" si="169"/>
        <v>82.569624173270199</v>
      </c>
      <c r="CB83" s="582">
        <f t="shared" si="153"/>
        <v>-50</v>
      </c>
      <c r="CC83">
        <f t="shared" si="154"/>
        <v>-50</v>
      </c>
    </row>
    <row r="84" spans="5:81" x14ac:dyDescent="0.25">
      <c r="E84" s="177">
        <v>79</v>
      </c>
      <c r="F84" s="224">
        <f t="shared" si="155"/>
        <v>7.9000000000000015E-2</v>
      </c>
      <c r="G84" s="224"/>
      <c r="H84" s="224">
        <f t="shared" si="109"/>
        <v>0.49770000000000009</v>
      </c>
      <c r="I84" s="560">
        <f t="shared" si="110"/>
        <v>24</v>
      </c>
      <c r="J84" s="179">
        <f t="shared" si="111"/>
        <v>13.1</v>
      </c>
      <c r="K84" s="455">
        <f t="shared" si="112"/>
        <v>37.1</v>
      </c>
      <c r="L84" s="455"/>
      <c r="M84" s="224">
        <f t="shared" si="113"/>
        <v>0.35309973045822102</v>
      </c>
      <c r="N84" s="179">
        <f t="shared" si="114"/>
        <v>5.5295417789757408</v>
      </c>
      <c r="O84" s="179">
        <f t="shared" si="156"/>
        <v>0.49770000000000009</v>
      </c>
      <c r="P84" s="224">
        <f t="shared" si="115"/>
        <v>0.87770504428186369</v>
      </c>
      <c r="Q84" s="224">
        <f t="shared" si="116"/>
        <v>6.3</v>
      </c>
      <c r="R84" s="224">
        <f t="shared" si="117"/>
        <v>0.97522782697984844</v>
      </c>
      <c r="S84" s="179">
        <f t="shared" si="118"/>
        <v>186.24393441532959</v>
      </c>
      <c r="T84" s="179">
        <f t="shared" si="119"/>
        <v>6.3</v>
      </c>
      <c r="U84" s="224">
        <f t="shared" si="120"/>
        <v>0.13051081424936389</v>
      </c>
      <c r="V84" s="224">
        <f t="shared" si="121"/>
        <v>0.29908728265479223</v>
      </c>
      <c r="W84" s="224">
        <f t="shared" si="122"/>
        <v>0.54794616669580265</v>
      </c>
      <c r="X84" s="204">
        <f t="shared" si="123"/>
        <v>350</v>
      </c>
      <c r="Y84" s="455">
        <f t="shared" si="157"/>
        <v>350</v>
      </c>
      <c r="AA84" s="224">
        <f t="shared" si="124"/>
        <v>0.44022823537648331</v>
      </c>
      <c r="AB84" s="180">
        <f t="shared" si="125"/>
        <v>1.8482864844050828</v>
      </c>
      <c r="AC84" s="180">
        <f t="shared" si="126"/>
        <v>0.28478376412494877</v>
      </c>
      <c r="AD84" s="180"/>
      <c r="AE84" s="180">
        <f t="shared" si="127"/>
        <v>1.217557251908397</v>
      </c>
      <c r="AF84" s="564">
        <f t="shared" si="170"/>
        <v>223.73797427305158</v>
      </c>
      <c r="AG84" s="547">
        <f t="shared" si="128"/>
        <v>0.1235820610687023</v>
      </c>
      <c r="AI84" s="180">
        <f t="shared" si="129"/>
        <v>0.24440639871837999</v>
      </c>
      <c r="AJ84" s="180">
        <f t="shared" si="130"/>
        <v>0.28999999999999998</v>
      </c>
      <c r="AK84" s="180">
        <f t="shared" si="131"/>
        <v>1.1278502710131724</v>
      </c>
      <c r="AM84" s="564">
        <f t="shared" si="132"/>
        <v>79.000000000000014</v>
      </c>
      <c r="AN84" s="473">
        <f t="shared" si="133"/>
        <v>223.73797427305158</v>
      </c>
      <c r="AP84">
        <f t="shared" si="134"/>
        <v>79.000000000000014</v>
      </c>
      <c r="AQ84">
        <f t="shared" si="135"/>
        <v>223.73797427305158</v>
      </c>
      <c r="AS84" s="5">
        <f t="shared" si="158"/>
        <v>4.4695139627017095</v>
      </c>
      <c r="AT84" s="5">
        <f t="shared" si="136"/>
        <v>0.6645833333333333</v>
      </c>
      <c r="AU84" s="5">
        <f t="shared" si="159"/>
        <v>3.8049306293683762</v>
      </c>
      <c r="AV84" s="5">
        <f t="shared" si="137"/>
        <v>1.217557251908397</v>
      </c>
      <c r="AW84" s="180">
        <f t="shared" si="160"/>
        <v>0.14869252873563221</v>
      </c>
      <c r="AX84" s="180">
        <f t="shared" si="138"/>
        <v>0.51745000000000008</v>
      </c>
      <c r="AY84" s="180">
        <f t="shared" si="139"/>
        <v>0.24687916666666665</v>
      </c>
      <c r="AZ84" s="180">
        <f t="shared" si="161"/>
        <v>2.0959646250696196</v>
      </c>
      <c r="BA84" s="473">
        <f t="shared" si="140"/>
        <v>0.83336640211640223</v>
      </c>
      <c r="BB84" s="5">
        <f t="shared" si="141"/>
        <v>7.3059952709746939E-2</v>
      </c>
      <c r="BC84" s="5"/>
      <c r="BD84" s="180">
        <f t="shared" si="162"/>
        <v>6.4562738651812335E-2</v>
      </c>
      <c r="BE84" s="180">
        <f t="shared" si="142"/>
        <v>0.30896592764323455</v>
      </c>
      <c r="BF84" s="180"/>
      <c r="BG84" s="547">
        <f t="shared" si="143"/>
        <v>1.4589215277777778E-3</v>
      </c>
      <c r="BH84" s="547">
        <f t="shared" si="144"/>
        <v>2.4071968652037621E-2</v>
      </c>
      <c r="BI84" s="547">
        <f t="shared" si="145"/>
        <v>2.7967246784131447E-3</v>
      </c>
      <c r="BJ84" s="547">
        <f t="shared" si="146"/>
        <v>1.7707423147227327E-2</v>
      </c>
      <c r="BK84">
        <f t="shared" si="147"/>
        <v>6.96E-3</v>
      </c>
      <c r="BL84" s="473">
        <f t="shared" si="163"/>
        <v>52.995038005455875</v>
      </c>
      <c r="BM84" s="547">
        <f t="shared" si="148"/>
        <v>2.7650000000000004E-2</v>
      </c>
      <c r="BN84" s="547"/>
      <c r="BP84" s="473">
        <f t="shared" si="164"/>
        <v>27.650000000000006</v>
      </c>
      <c r="BQ84" s="547">
        <f t="shared" si="149"/>
        <v>4.5851819444444448E-4</v>
      </c>
      <c r="BR84" s="547">
        <f t="shared" si="150"/>
        <v>3.3410980555555561E-3</v>
      </c>
      <c r="BS84" s="547">
        <f t="shared" si="151"/>
        <v>1.6955642581048857E-3</v>
      </c>
      <c r="BT84" s="547">
        <f t="shared" si="152"/>
        <v>1.8816363636363638E-2</v>
      </c>
      <c r="BU84" s="473">
        <f t="shared" si="165"/>
        <v>24.311544144468524</v>
      </c>
      <c r="BV84" s="180">
        <f t="shared" si="166"/>
        <v>0.1049565821499244</v>
      </c>
      <c r="BW84" s="5">
        <f t="shared" si="167"/>
        <v>0.49770000000000009</v>
      </c>
      <c r="BX84" s="180">
        <f t="shared" si="168"/>
        <v>0.82584346498713912</v>
      </c>
      <c r="BY84" s="5">
        <f t="shared" si="169"/>
        <v>82.584346498713913</v>
      </c>
      <c r="CB84" s="582">
        <f t="shared" si="153"/>
        <v>-50</v>
      </c>
      <c r="CC84">
        <f t="shared" si="154"/>
        <v>-50</v>
      </c>
    </row>
    <row r="85" spans="5:81" x14ac:dyDescent="0.25">
      <c r="E85" s="177">
        <v>80</v>
      </c>
      <c r="F85" s="224">
        <f t="shared" si="155"/>
        <v>8.0000000000000016E-2</v>
      </c>
      <c r="G85" s="224"/>
      <c r="H85" s="224">
        <f t="shared" si="109"/>
        <v>0.50400000000000011</v>
      </c>
      <c r="I85" s="560">
        <f t="shared" si="110"/>
        <v>24</v>
      </c>
      <c r="J85" s="179">
        <f t="shared" si="111"/>
        <v>13.1</v>
      </c>
      <c r="K85" s="455">
        <f t="shared" si="112"/>
        <v>37.1</v>
      </c>
      <c r="L85" s="455"/>
      <c r="M85" s="224">
        <f t="shared" si="113"/>
        <v>0.35309973045822102</v>
      </c>
      <c r="N85" s="179">
        <f t="shared" si="114"/>
        <v>5.5295417789757408</v>
      </c>
      <c r="O85" s="179">
        <f t="shared" si="156"/>
        <v>0.50400000000000011</v>
      </c>
      <c r="P85" s="224">
        <f t="shared" si="115"/>
        <v>0.87770504428186369</v>
      </c>
      <c r="Q85" s="224">
        <f t="shared" si="116"/>
        <v>6.3</v>
      </c>
      <c r="R85" s="224">
        <f t="shared" si="117"/>
        <v>0.97522782697984844</v>
      </c>
      <c r="S85" s="179">
        <f t="shared" si="118"/>
        <v>183.76630290334418</v>
      </c>
      <c r="T85" s="179">
        <f t="shared" si="119"/>
        <v>6.3</v>
      </c>
      <c r="U85" s="224">
        <f t="shared" si="120"/>
        <v>0.13216284987277357</v>
      </c>
      <c r="V85" s="224">
        <f t="shared" si="121"/>
        <v>0.30287319762510612</v>
      </c>
      <c r="W85" s="224">
        <f t="shared" si="122"/>
        <v>0.55488219412233186</v>
      </c>
      <c r="X85" s="204">
        <f t="shared" si="123"/>
        <v>350</v>
      </c>
      <c r="Y85" s="455">
        <f t="shared" si="157"/>
        <v>350</v>
      </c>
      <c r="AA85" s="224">
        <f t="shared" si="124"/>
        <v>0.44022823537648331</v>
      </c>
      <c r="AB85" s="180">
        <f t="shared" si="125"/>
        <v>1.8482864844050828</v>
      </c>
      <c r="AC85" s="180">
        <f t="shared" si="126"/>
        <v>0.28478376412494877</v>
      </c>
      <c r="AD85" s="180"/>
      <c r="AE85" s="180">
        <f t="shared" si="127"/>
        <v>1.217557251908397</v>
      </c>
      <c r="AF85" s="564">
        <f t="shared" si="170"/>
        <v>226.57010052967249</v>
      </c>
      <c r="AG85" s="547">
        <f t="shared" si="128"/>
        <v>0.1235820610687023</v>
      </c>
      <c r="AI85" s="180">
        <f t="shared" si="129"/>
        <v>0.24594841022177902</v>
      </c>
      <c r="AJ85" s="180">
        <f t="shared" si="130"/>
        <v>0.28999999999999998</v>
      </c>
      <c r="AK85" s="180">
        <f t="shared" si="131"/>
        <v>1.1294686288740985</v>
      </c>
      <c r="AM85" s="564">
        <f t="shared" si="132"/>
        <v>80.000000000000014</v>
      </c>
      <c r="AN85" s="473">
        <f t="shared" si="133"/>
        <v>226.57010052967249</v>
      </c>
      <c r="AP85">
        <f t="shared" si="134"/>
        <v>80.000000000000014</v>
      </c>
      <c r="AQ85">
        <f t="shared" si="135"/>
        <v>226.57010052967249</v>
      </c>
      <c r="AS85" s="5">
        <f t="shared" si="158"/>
        <v>4.413645038167938</v>
      </c>
      <c r="AT85" s="5">
        <f t="shared" si="136"/>
        <v>0.6645833333333333</v>
      </c>
      <c r="AU85" s="5">
        <f t="shared" si="159"/>
        <v>3.7490617048346047</v>
      </c>
      <c r="AV85" s="5">
        <f t="shared" si="137"/>
        <v>1.217557251908397</v>
      </c>
      <c r="AW85" s="180">
        <f t="shared" si="160"/>
        <v>0.15057471264367819</v>
      </c>
      <c r="AX85" s="180">
        <f t="shared" si="138"/>
        <v>0.52400000000000002</v>
      </c>
      <c r="AY85" s="180">
        <f t="shared" si="139"/>
        <v>0.24633333333333332</v>
      </c>
      <c r="AZ85" s="180">
        <f t="shared" si="161"/>
        <v>2.1271989174560217</v>
      </c>
      <c r="BA85" s="473">
        <f t="shared" si="140"/>
        <v>0.84391534391534395</v>
      </c>
      <c r="BB85" s="5">
        <f t="shared" si="141"/>
        <v>7.2898422038450664E-2</v>
      </c>
      <c r="BC85" s="5"/>
      <c r="BD85" s="180">
        <f t="shared" si="162"/>
        <v>6.4970078583230229E-2</v>
      </c>
      <c r="BE85" s="180">
        <f t="shared" si="142"/>
        <v>0.30862418714172235</v>
      </c>
      <c r="BF85" s="180"/>
      <c r="BG85" s="547">
        <f t="shared" si="143"/>
        <v>1.4773888888888888E-3</v>
      </c>
      <c r="BH85" s="547">
        <f t="shared" si="144"/>
        <v>2.4376677115987466E-2</v>
      </c>
      <c r="BI85" s="547">
        <f t="shared" si="145"/>
        <v>2.8321262566209059E-3</v>
      </c>
      <c r="BJ85" s="547">
        <f t="shared" si="146"/>
        <v>1.7931567744027675E-2</v>
      </c>
      <c r="BK85">
        <f t="shared" si="147"/>
        <v>6.96E-3</v>
      </c>
      <c r="BL85" s="473">
        <f t="shared" si="163"/>
        <v>53.577760005524937</v>
      </c>
      <c r="BM85" s="547">
        <f t="shared" si="148"/>
        <v>2.8000000000000004E-2</v>
      </c>
      <c r="BN85" s="547"/>
      <c r="BP85" s="473">
        <f t="shared" si="164"/>
        <v>28.000000000000004</v>
      </c>
      <c r="BQ85" s="547">
        <f t="shared" si="149"/>
        <v>4.6432222222222226E-4</v>
      </c>
      <c r="BR85" s="547">
        <f t="shared" si="150"/>
        <v>3.3337111111111104E-3</v>
      </c>
      <c r="BS85" s="547">
        <f t="shared" si="151"/>
        <v>1.7497318306933032E-3</v>
      </c>
      <c r="BT85" s="547">
        <f t="shared" si="152"/>
        <v>1.9054545454545456E-2</v>
      </c>
      <c r="BU85" s="473">
        <f t="shared" si="165"/>
        <v>24.602310618572091</v>
      </c>
      <c r="BV85" s="180">
        <f t="shared" si="166"/>
        <v>0.10618007062409704</v>
      </c>
      <c r="BW85" s="5">
        <f t="shared" si="167"/>
        <v>0.50400000000000011</v>
      </c>
      <c r="BX85" s="180">
        <f t="shared" si="168"/>
        <v>0.82598567908733034</v>
      </c>
      <c r="BY85" s="5">
        <f t="shared" si="169"/>
        <v>82.598567908733031</v>
      </c>
      <c r="CB85" s="582">
        <f t="shared" si="153"/>
        <v>-50</v>
      </c>
      <c r="CC85">
        <f t="shared" si="154"/>
        <v>-50</v>
      </c>
    </row>
    <row r="86" spans="5:81" x14ac:dyDescent="0.25">
      <c r="E86" s="177">
        <v>81</v>
      </c>
      <c r="F86" s="224">
        <f t="shared" si="155"/>
        <v>8.1000000000000016E-2</v>
      </c>
      <c r="G86" s="224"/>
      <c r="H86" s="224">
        <f t="shared" si="109"/>
        <v>0.51030000000000009</v>
      </c>
      <c r="I86" s="560">
        <f t="shared" si="110"/>
        <v>24</v>
      </c>
      <c r="J86" s="179">
        <f t="shared" si="111"/>
        <v>13.1</v>
      </c>
      <c r="K86" s="455">
        <f t="shared" si="112"/>
        <v>37.1</v>
      </c>
      <c r="L86" s="455"/>
      <c r="M86" s="224">
        <f t="shared" si="113"/>
        <v>0.35309973045822102</v>
      </c>
      <c r="N86" s="179">
        <f t="shared" si="114"/>
        <v>5.5295417789757408</v>
      </c>
      <c r="O86" s="179">
        <f t="shared" si="156"/>
        <v>0.51030000000000009</v>
      </c>
      <c r="P86" s="224">
        <f t="shared" si="115"/>
        <v>0.87770504428186369</v>
      </c>
      <c r="Q86" s="224">
        <f t="shared" si="116"/>
        <v>6.3</v>
      </c>
      <c r="R86" s="224">
        <f t="shared" si="117"/>
        <v>0.97522782697984844</v>
      </c>
      <c r="S86" s="179">
        <f t="shared" si="118"/>
        <v>181.34985317047867</v>
      </c>
      <c r="T86" s="179">
        <f t="shared" si="119"/>
        <v>6.3</v>
      </c>
      <c r="U86" s="224">
        <f t="shared" si="120"/>
        <v>0.13381488549618323</v>
      </c>
      <c r="V86" s="224">
        <f t="shared" si="121"/>
        <v>0.30665911259541995</v>
      </c>
      <c r="W86" s="224">
        <f t="shared" si="122"/>
        <v>0.56181822154886096</v>
      </c>
      <c r="X86" s="204">
        <f t="shared" si="123"/>
        <v>350</v>
      </c>
      <c r="Y86" s="455">
        <f t="shared" si="157"/>
        <v>350</v>
      </c>
      <c r="AA86" s="224">
        <f t="shared" si="124"/>
        <v>0.44022823537648331</v>
      </c>
      <c r="AB86" s="180">
        <f t="shared" si="125"/>
        <v>1.8482864844050828</v>
      </c>
      <c r="AC86" s="180">
        <f t="shared" si="126"/>
        <v>0.28478376412494877</v>
      </c>
      <c r="AD86" s="180"/>
      <c r="AE86" s="180">
        <f t="shared" si="127"/>
        <v>1.217557251908397</v>
      </c>
      <c r="AF86" s="564">
        <f t="shared" si="170"/>
        <v>229.40222678629337</v>
      </c>
      <c r="AG86" s="547">
        <f t="shared" si="128"/>
        <v>0.1235820610687023</v>
      </c>
      <c r="AI86" s="180">
        <f t="shared" si="129"/>
        <v>0.2474808138962559</v>
      </c>
      <c r="AJ86" s="180">
        <f t="shared" si="130"/>
        <v>0.28999999999999998</v>
      </c>
      <c r="AK86" s="180">
        <f t="shared" si="131"/>
        <v>1.1310869867350248</v>
      </c>
      <c r="AM86" s="564">
        <f t="shared" si="132"/>
        <v>81.000000000000014</v>
      </c>
      <c r="AN86" s="473">
        <f t="shared" si="133"/>
        <v>229.40222678629337</v>
      </c>
      <c r="AP86">
        <f t="shared" si="134"/>
        <v>81.000000000000014</v>
      </c>
      <c r="AQ86">
        <f t="shared" si="135"/>
        <v>229.40222678629337</v>
      </c>
      <c r="AS86" s="5">
        <f t="shared" si="158"/>
        <v>4.3591555932522859</v>
      </c>
      <c r="AT86" s="5">
        <f t="shared" si="136"/>
        <v>0.6645833333333333</v>
      </c>
      <c r="AU86" s="5">
        <f t="shared" si="159"/>
        <v>3.6945722599189526</v>
      </c>
      <c r="AV86" s="5">
        <f t="shared" si="137"/>
        <v>1.217557251908397</v>
      </c>
      <c r="AW86" s="180">
        <f t="shared" si="160"/>
        <v>0.15245689655172412</v>
      </c>
      <c r="AX86" s="180">
        <f t="shared" si="138"/>
        <v>0.53054999999999997</v>
      </c>
      <c r="AY86" s="180">
        <f t="shared" si="139"/>
        <v>0.24578749999999999</v>
      </c>
      <c r="AZ86" s="180">
        <f t="shared" si="161"/>
        <v>2.158571937140823</v>
      </c>
      <c r="BA86" s="473">
        <f t="shared" si="140"/>
        <v>0.8544642857142859</v>
      </c>
      <c r="BB86" s="5">
        <f t="shared" si="141"/>
        <v>7.2736891367154374E-2</v>
      </c>
      <c r="BC86" s="5"/>
      <c r="BD86" s="180">
        <f t="shared" si="162"/>
        <v>6.5374880497022697E-2</v>
      </c>
      <c r="BE86" s="180">
        <f t="shared" si="142"/>
        <v>0.30828206781020095</v>
      </c>
      <c r="BF86" s="180"/>
      <c r="BG86" s="547">
        <f t="shared" si="143"/>
        <v>1.4958562499999995E-3</v>
      </c>
      <c r="BH86" s="547">
        <f t="shared" si="144"/>
        <v>2.4681385579937307E-2</v>
      </c>
      <c r="BI86" s="547">
        <f t="shared" si="145"/>
        <v>2.8675278348286671E-3</v>
      </c>
      <c r="BJ86" s="547">
        <f t="shared" si="146"/>
        <v>1.815571234082802E-2</v>
      </c>
      <c r="BK86">
        <f t="shared" si="147"/>
        <v>6.96E-3</v>
      </c>
      <c r="BL86" s="473">
        <f t="shared" si="163"/>
        <v>54.160482005593991</v>
      </c>
      <c r="BM86" s="547">
        <f t="shared" si="148"/>
        <v>2.8350000000000004E-2</v>
      </c>
      <c r="BN86" s="547"/>
      <c r="BP86" s="473">
        <f t="shared" si="164"/>
        <v>28.350000000000005</v>
      </c>
      <c r="BQ86" s="547">
        <f t="shared" si="149"/>
        <v>4.7012624999999989E-4</v>
      </c>
      <c r="BR86" s="547">
        <f t="shared" si="150"/>
        <v>3.3263241666666669E-3</v>
      </c>
      <c r="BS86" s="547">
        <f t="shared" si="151"/>
        <v>1.8049246334388477E-3</v>
      </c>
      <c r="BT86" s="547">
        <f t="shared" si="152"/>
        <v>1.9292727272727274E-2</v>
      </c>
      <c r="BU86" s="473">
        <f t="shared" si="165"/>
        <v>24.89410232283279</v>
      </c>
      <c r="BV86" s="180">
        <f t="shared" si="166"/>
        <v>0.10740458432842678</v>
      </c>
      <c r="BW86" s="5">
        <f t="shared" si="167"/>
        <v>0.51030000000000009</v>
      </c>
      <c r="BX86" s="180">
        <f t="shared" si="168"/>
        <v>0.82612305776361061</v>
      </c>
      <c r="BY86" s="5">
        <f t="shared" si="169"/>
        <v>82.612305776361055</v>
      </c>
      <c r="CB86" s="582">
        <f t="shared" si="153"/>
        <v>-50</v>
      </c>
      <c r="CC86">
        <f t="shared" si="154"/>
        <v>-50</v>
      </c>
    </row>
    <row r="87" spans="5:81" x14ac:dyDescent="0.25">
      <c r="E87" s="177">
        <v>82</v>
      </c>
      <c r="F87" s="224">
        <f t="shared" si="155"/>
        <v>8.2000000000000003E-2</v>
      </c>
      <c r="G87" s="224"/>
      <c r="H87" s="224">
        <f t="shared" si="109"/>
        <v>0.51660000000000006</v>
      </c>
      <c r="I87" s="560">
        <f t="shared" si="110"/>
        <v>24</v>
      </c>
      <c r="J87" s="179">
        <f t="shared" si="111"/>
        <v>13.1</v>
      </c>
      <c r="K87" s="455">
        <f t="shared" si="112"/>
        <v>37.1</v>
      </c>
      <c r="L87" s="455"/>
      <c r="M87" s="224">
        <f t="shared" si="113"/>
        <v>0.35309973045822102</v>
      </c>
      <c r="N87" s="179">
        <f t="shared" si="114"/>
        <v>5.5295417789757408</v>
      </c>
      <c r="O87" s="179">
        <f t="shared" si="156"/>
        <v>0.51660000000000006</v>
      </c>
      <c r="P87" s="224">
        <f t="shared" si="115"/>
        <v>0.87770504428186369</v>
      </c>
      <c r="Q87" s="224">
        <f t="shared" si="116"/>
        <v>6.3</v>
      </c>
      <c r="R87" s="224">
        <f t="shared" si="117"/>
        <v>0.97522782697984844</v>
      </c>
      <c r="S87" s="179">
        <f t="shared" si="118"/>
        <v>178.99234687236694</v>
      </c>
      <c r="T87" s="179">
        <f t="shared" si="119"/>
        <v>6.3</v>
      </c>
      <c r="U87" s="224">
        <f t="shared" si="120"/>
        <v>0.13546692111959288</v>
      </c>
      <c r="V87" s="224">
        <f t="shared" si="121"/>
        <v>0.31044502756573367</v>
      </c>
      <c r="W87" s="224">
        <f t="shared" si="122"/>
        <v>0.56875424897538995</v>
      </c>
      <c r="X87" s="204">
        <f t="shared" si="123"/>
        <v>350</v>
      </c>
      <c r="Y87" s="455">
        <f t="shared" si="157"/>
        <v>350</v>
      </c>
      <c r="AA87" s="224">
        <f t="shared" si="124"/>
        <v>0.44022823537648331</v>
      </c>
      <c r="AB87" s="180">
        <f t="shared" si="125"/>
        <v>1.8482864844050828</v>
      </c>
      <c r="AC87" s="180">
        <f t="shared" si="126"/>
        <v>0.28478376412494877</v>
      </c>
      <c r="AD87" s="180"/>
      <c r="AE87" s="180">
        <f t="shared" si="127"/>
        <v>1.217557251908397</v>
      </c>
      <c r="AF87" s="564">
        <f t="shared" si="170"/>
        <v>232.23435304291428</v>
      </c>
      <c r="AG87" s="547">
        <f t="shared" si="128"/>
        <v>0.1235820610687023</v>
      </c>
      <c r="AI87" s="180">
        <f t="shared" si="129"/>
        <v>0.24900378712558971</v>
      </c>
      <c r="AJ87" s="180">
        <f t="shared" si="130"/>
        <v>0.28999999999999998</v>
      </c>
      <c r="AK87" s="180">
        <f t="shared" si="131"/>
        <v>1.132705344595951</v>
      </c>
      <c r="AM87" s="564">
        <f t="shared" si="132"/>
        <v>82</v>
      </c>
      <c r="AN87" s="473">
        <f t="shared" si="133"/>
        <v>232.23435304291428</v>
      </c>
      <c r="AP87">
        <f t="shared" si="134"/>
        <v>82</v>
      </c>
      <c r="AQ87">
        <f t="shared" si="135"/>
        <v>232.23435304291428</v>
      </c>
      <c r="AS87" s="5">
        <f t="shared" si="158"/>
        <v>4.3059951591882326</v>
      </c>
      <c r="AT87" s="5">
        <f t="shared" si="136"/>
        <v>0.6645833333333333</v>
      </c>
      <c r="AU87" s="5">
        <f t="shared" si="159"/>
        <v>3.6414118258548993</v>
      </c>
      <c r="AV87" s="5">
        <f t="shared" si="137"/>
        <v>1.217557251908397</v>
      </c>
      <c r="AW87" s="180">
        <f t="shared" si="160"/>
        <v>0.15433908045977013</v>
      </c>
      <c r="AX87" s="180">
        <f t="shared" si="138"/>
        <v>0.53710000000000002</v>
      </c>
      <c r="AY87" s="180">
        <f t="shared" si="139"/>
        <v>0.24524166666666664</v>
      </c>
      <c r="AZ87" s="180">
        <f t="shared" si="161"/>
        <v>2.1900846104182952</v>
      </c>
      <c r="BA87" s="473">
        <f t="shared" si="140"/>
        <v>0.86501322751322751</v>
      </c>
      <c r="BB87" s="5">
        <f t="shared" si="141"/>
        <v>7.2575360695858057E-2</v>
      </c>
      <c r="BC87" s="5"/>
      <c r="BD87" s="180">
        <f t="shared" si="162"/>
        <v>6.5777191251138789E-2</v>
      </c>
      <c r="BE87" s="180">
        <f t="shared" si="142"/>
        <v>0.30793956838603537</v>
      </c>
      <c r="BF87" s="180"/>
      <c r="BG87" s="547">
        <f t="shared" si="143"/>
        <v>1.5143236111111113E-3</v>
      </c>
      <c r="BH87" s="547">
        <f t="shared" si="144"/>
        <v>2.4986094043887148E-2</v>
      </c>
      <c r="BI87" s="547">
        <f t="shared" si="145"/>
        <v>2.9029294130364282E-3</v>
      </c>
      <c r="BJ87" s="547">
        <f t="shared" si="146"/>
        <v>1.8379856937628364E-2</v>
      </c>
      <c r="BK87">
        <f t="shared" si="147"/>
        <v>6.96E-3</v>
      </c>
      <c r="BL87" s="473">
        <f t="shared" si="163"/>
        <v>54.743204005663053</v>
      </c>
      <c r="BM87" s="547">
        <f t="shared" si="148"/>
        <v>2.87E-2</v>
      </c>
      <c r="BN87" s="547"/>
      <c r="BP87" s="473">
        <f t="shared" si="164"/>
        <v>28.7</v>
      </c>
      <c r="BQ87" s="547">
        <f t="shared" si="149"/>
        <v>4.7593027777777784E-4</v>
      </c>
      <c r="BR87" s="547">
        <f t="shared" si="150"/>
        <v>3.3189372222222216E-3</v>
      </c>
      <c r="BS87" s="547">
        <f t="shared" si="151"/>
        <v>1.8611490542125735E-3</v>
      </c>
      <c r="BT87" s="547">
        <f t="shared" si="152"/>
        <v>1.9530909090909092E-2</v>
      </c>
      <c r="BU87" s="473">
        <f t="shared" si="165"/>
        <v>25.186925645121665</v>
      </c>
      <c r="BV87" s="180">
        <f t="shared" si="166"/>
        <v>0.1086301296507847</v>
      </c>
      <c r="BW87" s="5">
        <f t="shared" si="167"/>
        <v>0.51660000000000006</v>
      </c>
      <c r="BX87" s="180">
        <f t="shared" si="168"/>
        <v>0.82625576647840238</v>
      </c>
      <c r="BY87" s="5">
        <f t="shared" si="169"/>
        <v>82.625576647840234</v>
      </c>
      <c r="CB87" s="582">
        <f t="shared" si="153"/>
        <v>-50</v>
      </c>
      <c r="CC87">
        <f t="shared" si="154"/>
        <v>-50</v>
      </c>
    </row>
    <row r="88" spans="5:81" x14ac:dyDescent="0.25">
      <c r="E88" s="177">
        <v>83</v>
      </c>
      <c r="F88" s="224">
        <f t="shared" si="155"/>
        <v>8.3000000000000004E-2</v>
      </c>
      <c r="G88" s="224"/>
      <c r="H88" s="224">
        <f t="shared" si="109"/>
        <v>0.52290000000000003</v>
      </c>
      <c r="I88" s="560">
        <f t="shared" si="110"/>
        <v>24</v>
      </c>
      <c r="J88" s="179">
        <f t="shared" si="111"/>
        <v>13.1</v>
      </c>
      <c r="K88" s="455">
        <f t="shared" si="112"/>
        <v>37.1</v>
      </c>
      <c r="L88" s="455"/>
      <c r="M88" s="224">
        <f t="shared" si="113"/>
        <v>0.35309973045822102</v>
      </c>
      <c r="N88" s="179">
        <f t="shared" si="114"/>
        <v>5.5295417789757408</v>
      </c>
      <c r="O88" s="179">
        <f t="shared" si="156"/>
        <v>0.52290000000000003</v>
      </c>
      <c r="P88" s="224">
        <f t="shared" si="115"/>
        <v>0.87770504428186369</v>
      </c>
      <c r="Q88" s="224">
        <f t="shared" si="116"/>
        <v>6.3</v>
      </c>
      <c r="R88" s="224">
        <f t="shared" si="117"/>
        <v>0.97522782697984844</v>
      </c>
      <c r="S88" s="179">
        <f t="shared" si="118"/>
        <v>176.69165353670164</v>
      </c>
      <c r="T88" s="179">
        <f t="shared" si="119"/>
        <v>6.3</v>
      </c>
      <c r="U88" s="224">
        <f t="shared" si="120"/>
        <v>0.13711895674300253</v>
      </c>
      <c r="V88" s="224">
        <f t="shared" si="121"/>
        <v>0.3142309425360475</v>
      </c>
      <c r="W88" s="224">
        <f t="shared" si="122"/>
        <v>0.57569027640191905</v>
      </c>
      <c r="X88" s="204">
        <f t="shared" si="123"/>
        <v>350</v>
      </c>
      <c r="Y88" s="455">
        <f t="shared" si="157"/>
        <v>350</v>
      </c>
      <c r="AA88" s="224">
        <f t="shared" si="124"/>
        <v>0.44022823537648331</v>
      </c>
      <c r="AB88" s="180">
        <f t="shared" si="125"/>
        <v>1.8482864844050828</v>
      </c>
      <c r="AC88" s="180">
        <f t="shared" si="126"/>
        <v>0.28478376412494877</v>
      </c>
      <c r="AD88" s="180"/>
      <c r="AE88" s="180">
        <f t="shared" si="127"/>
        <v>1.217557251908397</v>
      </c>
      <c r="AF88" s="564">
        <f t="shared" si="170"/>
        <v>235.06647929953516</v>
      </c>
      <c r="AG88" s="547">
        <f t="shared" si="128"/>
        <v>0.1235820610687023</v>
      </c>
      <c r="AI88" s="180">
        <f t="shared" si="129"/>
        <v>0.25051750190160116</v>
      </c>
      <c r="AJ88" s="180">
        <f t="shared" si="130"/>
        <v>0.28999999999999998</v>
      </c>
      <c r="AK88" s="180">
        <f t="shared" si="131"/>
        <v>1.1343237024568773</v>
      </c>
      <c r="AM88" s="564">
        <f t="shared" si="132"/>
        <v>83</v>
      </c>
      <c r="AN88" s="473">
        <f t="shared" si="133"/>
        <v>235.06647929953516</v>
      </c>
      <c r="AP88">
        <f t="shared" si="134"/>
        <v>83</v>
      </c>
      <c r="AQ88">
        <f t="shared" si="135"/>
        <v>235.06647929953516</v>
      </c>
      <c r="AS88" s="5">
        <f t="shared" si="158"/>
        <v>4.2541156994389775</v>
      </c>
      <c r="AT88" s="5">
        <f t="shared" si="136"/>
        <v>0.6645833333333333</v>
      </c>
      <c r="AU88" s="5">
        <f t="shared" si="159"/>
        <v>3.5895323661056442</v>
      </c>
      <c r="AV88" s="5">
        <f t="shared" si="137"/>
        <v>1.217557251908397</v>
      </c>
      <c r="AW88" s="180">
        <f t="shared" si="160"/>
        <v>0.15622126436781608</v>
      </c>
      <c r="AX88" s="180">
        <f t="shared" si="138"/>
        <v>0.54364999999999986</v>
      </c>
      <c r="AY88" s="180">
        <f t="shared" si="139"/>
        <v>0.24469583333333333</v>
      </c>
      <c r="AZ88" s="180">
        <f t="shared" si="161"/>
        <v>2.2217378718477017</v>
      </c>
      <c r="BA88" s="473">
        <f t="shared" si="140"/>
        <v>0.87556216931216946</v>
      </c>
      <c r="BB88" s="5">
        <f t="shared" si="141"/>
        <v>7.2413830024561768E-2</v>
      </c>
      <c r="BC88" s="5"/>
      <c r="BD88" s="180">
        <f t="shared" si="162"/>
        <v>6.6177056279180149E-2</v>
      </c>
      <c r="BE88" s="180">
        <f t="shared" si="142"/>
        <v>0.30759668759956149</v>
      </c>
      <c r="BF88" s="180"/>
      <c r="BG88" s="547">
        <f t="shared" si="143"/>
        <v>1.532790972222222E-3</v>
      </c>
      <c r="BH88" s="547">
        <f t="shared" si="144"/>
        <v>2.5290802507836985E-2</v>
      </c>
      <c r="BI88" s="547">
        <f t="shared" si="145"/>
        <v>2.938330991244189E-3</v>
      </c>
      <c r="BJ88" s="547">
        <f t="shared" si="146"/>
        <v>1.8604001534428708E-2</v>
      </c>
      <c r="BK88">
        <f t="shared" si="147"/>
        <v>6.96E-3</v>
      </c>
      <c r="BL88" s="473">
        <f t="shared" si="163"/>
        <v>55.325926005732107</v>
      </c>
      <c r="BM88" s="547">
        <f t="shared" si="148"/>
        <v>2.9049999999999999E-2</v>
      </c>
      <c r="BN88" s="547"/>
      <c r="BP88" s="473">
        <f t="shared" si="164"/>
        <v>29.05</v>
      </c>
      <c r="BQ88" s="547">
        <f t="shared" si="149"/>
        <v>4.8173430555555551E-4</v>
      </c>
      <c r="BR88" s="547">
        <f t="shared" si="150"/>
        <v>3.3115502777777781E-3</v>
      </c>
      <c r="BS88" s="547">
        <f t="shared" si="151"/>
        <v>1.9184114415729315E-3</v>
      </c>
      <c r="BT88" s="547">
        <f t="shared" si="152"/>
        <v>1.9769090909090906E-2</v>
      </c>
      <c r="BU88" s="473">
        <f t="shared" si="165"/>
        <v>25.48078693399717</v>
      </c>
      <c r="BV88" s="180">
        <f t="shared" si="166"/>
        <v>0.10985671293972926</v>
      </c>
      <c r="BW88" s="5">
        <f t="shared" si="167"/>
        <v>0.52290000000000003</v>
      </c>
      <c r="BX88" s="180">
        <f t="shared" si="168"/>
        <v>0.82638396291467986</v>
      </c>
      <c r="BY88" s="5">
        <f t="shared" si="169"/>
        <v>82.638396291467984</v>
      </c>
      <c r="CB88" s="582">
        <f t="shared" si="153"/>
        <v>-50</v>
      </c>
      <c r="CC88">
        <f t="shared" si="154"/>
        <v>-50</v>
      </c>
    </row>
    <row r="89" spans="5:81" x14ac:dyDescent="0.25">
      <c r="E89" s="177">
        <v>84</v>
      </c>
      <c r="F89" s="224">
        <f t="shared" si="155"/>
        <v>8.4000000000000005E-2</v>
      </c>
      <c r="G89" s="224"/>
      <c r="H89" s="224">
        <f t="shared" si="109"/>
        <v>0.5292</v>
      </c>
      <c r="I89" s="560">
        <f t="shared" si="110"/>
        <v>24</v>
      </c>
      <c r="J89" s="179">
        <f t="shared" si="111"/>
        <v>13.1</v>
      </c>
      <c r="K89" s="455">
        <f t="shared" si="112"/>
        <v>37.1</v>
      </c>
      <c r="L89" s="455"/>
      <c r="M89" s="224">
        <f t="shared" si="113"/>
        <v>0.35309973045822102</v>
      </c>
      <c r="N89" s="179">
        <f t="shared" si="114"/>
        <v>5.5295417789757408</v>
      </c>
      <c r="O89" s="179">
        <f t="shared" si="156"/>
        <v>0.5292</v>
      </c>
      <c r="P89" s="224">
        <f t="shared" si="115"/>
        <v>0.87770504428186369</v>
      </c>
      <c r="Q89" s="224">
        <f t="shared" si="116"/>
        <v>6.3</v>
      </c>
      <c r="R89" s="224">
        <f t="shared" si="117"/>
        <v>0.97522782697984844</v>
      </c>
      <c r="S89" s="179">
        <f t="shared" si="118"/>
        <v>174.44574414227847</v>
      </c>
      <c r="T89" s="179">
        <f t="shared" si="119"/>
        <v>6.3</v>
      </c>
      <c r="U89" s="224">
        <f t="shared" si="120"/>
        <v>0.13877099236641222</v>
      </c>
      <c r="V89" s="224">
        <f t="shared" si="121"/>
        <v>0.31801685750636133</v>
      </c>
      <c r="W89" s="224">
        <f t="shared" si="122"/>
        <v>0.58262630382844827</v>
      </c>
      <c r="X89" s="204">
        <f t="shared" si="123"/>
        <v>350</v>
      </c>
      <c r="Y89" s="455">
        <f t="shared" si="157"/>
        <v>350</v>
      </c>
      <c r="AA89" s="224">
        <f t="shared" si="124"/>
        <v>0.44022823537648331</v>
      </c>
      <c r="AB89" s="180">
        <f t="shared" si="125"/>
        <v>1.8482864844050828</v>
      </c>
      <c r="AC89" s="180">
        <f t="shared" si="126"/>
        <v>0.28478376412494877</v>
      </c>
      <c r="AD89" s="180"/>
      <c r="AE89" s="180">
        <f t="shared" si="127"/>
        <v>1.217557251908397</v>
      </c>
      <c r="AF89" s="564">
        <f t="shared" si="170"/>
        <v>237.89860555615607</v>
      </c>
      <c r="AG89" s="547">
        <f t="shared" si="128"/>
        <v>0.1235820610687023</v>
      </c>
      <c r="AI89" s="180">
        <f t="shared" si="129"/>
        <v>0.25202212505086041</v>
      </c>
      <c r="AJ89" s="180">
        <f t="shared" si="130"/>
        <v>0.28999999999999998</v>
      </c>
      <c r="AK89" s="180">
        <f t="shared" si="131"/>
        <v>1.1359420603178034</v>
      </c>
      <c r="AM89" s="564">
        <f t="shared" si="132"/>
        <v>84</v>
      </c>
      <c r="AN89" s="473">
        <f t="shared" si="133"/>
        <v>237.89860555615607</v>
      </c>
      <c r="AP89">
        <f t="shared" si="134"/>
        <v>84</v>
      </c>
      <c r="AQ89">
        <f t="shared" si="135"/>
        <v>237.89860555615607</v>
      </c>
      <c r="AS89" s="5">
        <f t="shared" si="158"/>
        <v>4.2034714649218472</v>
      </c>
      <c r="AT89" s="5">
        <f t="shared" si="136"/>
        <v>0.6645833333333333</v>
      </c>
      <c r="AU89" s="5">
        <f t="shared" si="159"/>
        <v>3.5388881315885139</v>
      </c>
      <c r="AV89" s="5">
        <f t="shared" si="137"/>
        <v>1.217557251908397</v>
      </c>
      <c r="AW89" s="180">
        <f t="shared" si="160"/>
        <v>0.15810344827586204</v>
      </c>
      <c r="AX89" s="180">
        <f t="shared" si="138"/>
        <v>0.55019999999999991</v>
      </c>
      <c r="AY89" s="180">
        <f t="shared" si="139"/>
        <v>0.24414999999999998</v>
      </c>
      <c r="AZ89" s="180">
        <f t="shared" si="161"/>
        <v>2.253532664345689</v>
      </c>
      <c r="BA89" s="473">
        <f t="shared" si="140"/>
        <v>0.88611111111111107</v>
      </c>
      <c r="BB89" s="5">
        <f t="shared" si="141"/>
        <v>7.2252299353265478E-2</v>
      </c>
      <c r="BC89" s="5"/>
      <c r="BD89" s="180">
        <f t="shared" si="162"/>
        <v>6.6574519650288613E-2</v>
      </c>
      <c r="BE89" s="180">
        <f t="shared" si="142"/>
        <v>0.3072534241740304</v>
      </c>
      <c r="BF89" s="180"/>
      <c r="BG89" s="547">
        <f t="shared" si="143"/>
        <v>1.5512583333333327E-3</v>
      </c>
      <c r="BH89" s="547">
        <f t="shared" si="144"/>
        <v>2.5595510971786837E-2</v>
      </c>
      <c r="BI89" s="547">
        <f t="shared" si="145"/>
        <v>2.9737325694519506E-3</v>
      </c>
      <c r="BJ89" s="547">
        <f t="shared" si="146"/>
        <v>1.8828146131229056E-2</v>
      </c>
      <c r="BK89">
        <f t="shared" si="147"/>
        <v>6.96E-3</v>
      </c>
      <c r="BL89" s="473">
        <f t="shared" si="163"/>
        <v>55.908648005801176</v>
      </c>
      <c r="BM89" s="547">
        <f t="shared" si="148"/>
        <v>2.9399999999999999E-2</v>
      </c>
      <c r="BN89" s="547"/>
      <c r="BP89" s="473">
        <f t="shared" si="164"/>
        <v>29.4</v>
      </c>
      <c r="BQ89" s="547">
        <f t="shared" si="149"/>
        <v>4.8753833333333314E-4</v>
      </c>
      <c r="BR89" s="547">
        <f t="shared" si="150"/>
        <v>3.3041633333333329E-3</v>
      </c>
      <c r="BS89" s="547">
        <f t="shared" si="151"/>
        <v>1.9767181054828097E-3</v>
      </c>
      <c r="BT89" s="547">
        <f t="shared" si="152"/>
        <v>2.0007272727272728E-2</v>
      </c>
      <c r="BU89" s="473">
        <f t="shared" si="165"/>
        <v>25.775692499422206</v>
      </c>
      <c r="BV89" s="180">
        <f t="shared" si="166"/>
        <v>0.11108434050522337</v>
      </c>
      <c r="BW89" s="5">
        <f t="shared" si="167"/>
        <v>0.5292</v>
      </c>
      <c r="BX89" s="180">
        <f t="shared" si="168"/>
        <v>0.82650779743016811</v>
      </c>
      <c r="BY89" s="5">
        <f t="shared" si="169"/>
        <v>82.650779743016813</v>
      </c>
      <c r="CB89" s="582">
        <f t="shared" si="153"/>
        <v>-50</v>
      </c>
      <c r="CC89">
        <f t="shared" si="154"/>
        <v>-50</v>
      </c>
    </row>
    <row r="90" spans="5:81" x14ac:dyDescent="0.25">
      <c r="E90" s="177">
        <v>85</v>
      </c>
      <c r="F90" s="224">
        <f t="shared" si="155"/>
        <v>8.5000000000000006E-2</v>
      </c>
      <c r="G90" s="224"/>
      <c r="H90" s="224">
        <f t="shared" si="109"/>
        <v>0.53549999999999998</v>
      </c>
      <c r="I90" s="560">
        <f t="shared" si="110"/>
        <v>24</v>
      </c>
      <c r="J90" s="179">
        <f t="shared" si="111"/>
        <v>13.1</v>
      </c>
      <c r="K90" s="455">
        <f t="shared" si="112"/>
        <v>37.1</v>
      </c>
      <c r="L90" s="455"/>
      <c r="M90" s="224">
        <f t="shared" si="113"/>
        <v>0.35309973045822102</v>
      </c>
      <c r="N90" s="179">
        <f t="shared" si="114"/>
        <v>5.5295417789757408</v>
      </c>
      <c r="O90" s="179">
        <f t="shared" si="156"/>
        <v>0.53549999999999998</v>
      </c>
      <c r="P90" s="224">
        <f t="shared" si="115"/>
        <v>0.87770504428186369</v>
      </c>
      <c r="Q90" s="224">
        <f t="shared" si="116"/>
        <v>6.3</v>
      </c>
      <c r="R90" s="224">
        <f t="shared" si="117"/>
        <v>0.97522782697984844</v>
      </c>
      <c r="S90" s="179">
        <f t="shared" si="118"/>
        <v>172.25268515128442</v>
      </c>
      <c r="T90" s="179">
        <f t="shared" si="119"/>
        <v>6.3</v>
      </c>
      <c r="U90" s="224">
        <f t="shared" si="120"/>
        <v>0.14042302798982187</v>
      </c>
      <c r="V90" s="224">
        <f t="shared" si="121"/>
        <v>0.3218027724766751</v>
      </c>
      <c r="W90" s="224">
        <f t="shared" si="122"/>
        <v>0.58956233125497737</v>
      </c>
      <c r="X90" s="204">
        <f t="shared" si="123"/>
        <v>350</v>
      </c>
      <c r="Y90" s="455">
        <f t="shared" si="157"/>
        <v>350</v>
      </c>
      <c r="AA90" s="224">
        <f t="shared" si="124"/>
        <v>0.44022823537648331</v>
      </c>
      <c r="AB90" s="180">
        <f t="shared" si="125"/>
        <v>1.8482864844050828</v>
      </c>
      <c r="AC90" s="180">
        <f t="shared" si="126"/>
        <v>0.28478376412494877</v>
      </c>
      <c r="AD90" s="180"/>
      <c r="AE90" s="180">
        <f t="shared" si="127"/>
        <v>1.217557251908397</v>
      </c>
      <c r="AF90" s="564">
        <f t="shared" si="170"/>
        <v>240.73073181277698</v>
      </c>
      <c r="AG90" s="547">
        <f t="shared" si="128"/>
        <v>0.1235820610687023</v>
      </c>
      <c r="AI90" s="180">
        <f t="shared" si="129"/>
        <v>0.25351781844928428</v>
      </c>
      <c r="AJ90" s="180">
        <f t="shared" si="130"/>
        <v>0.28999999999999998</v>
      </c>
      <c r="AK90" s="180">
        <f t="shared" si="131"/>
        <v>1.1375604181787298</v>
      </c>
      <c r="AM90" s="564">
        <f t="shared" si="132"/>
        <v>85</v>
      </c>
      <c r="AN90" s="473">
        <f t="shared" si="133"/>
        <v>240.73073181277698</v>
      </c>
      <c r="AP90">
        <f t="shared" si="134"/>
        <v>85</v>
      </c>
      <c r="AQ90">
        <f t="shared" si="135"/>
        <v>240.73073181277698</v>
      </c>
      <c r="AS90" s="5">
        <f t="shared" si="158"/>
        <v>4.1540188594521785</v>
      </c>
      <c r="AT90" s="5">
        <f t="shared" si="136"/>
        <v>0.6645833333333333</v>
      </c>
      <c r="AU90" s="5">
        <f t="shared" si="159"/>
        <v>3.4894355261188452</v>
      </c>
      <c r="AV90" s="5">
        <f t="shared" si="137"/>
        <v>1.217557251908397</v>
      </c>
      <c r="AW90" s="180">
        <f t="shared" si="160"/>
        <v>0.15998563218390802</v>
      </c>
      <c r="AX90" s="180">
        <f t="shared" si="138"/>
        <v>0.55674999999999997</v>
      </c>
      <c r="AY90" s="180">
        <f t="shared" si="139"/>
        <v>0.24360416666666665</v>
      </c>
      <c r="AZ90" s="180">
        <f t="shared" si="161"/>
        <v>2.2854699392799112</v>
      </c>
      <c r="BA90" s="473">
        <f t="shared" si="140"/>
        <v>0.89666005291005291</v>
      </c>
      <c r="BB90" s="5">
        <f t="shared" si="141"/>
        <v>7.2090768681969189E-2</v>
      </c>
      <c r="BC90" s="5"/>
      <c r="BD90" s="180">
        <f t="shared" si="162"/>
        <v>6.6969624125834501E-2</v>
      </c>
      <c r="BE90" s="180">
        <f t="shared" si="142"/>
        <v>0.30690977682555354</v>
      </c>
      <c r="BF90" s="180"/>
      <c r="BG90" s="547">
        <f t="shared" si="143"/>
        <v>1.5697256944444439E-3</v>
      </c>
      <c r="BH90" s="547">
        <f t="shared" si="144"/>
        <v>2.5900219435736678E-2</v>
      </c>
      <c r="BI90" s="547">
        <f t="shared" si="145"/>
        <v>3.0091341476597118E-3</v>
      </c>
      <c r="BJ90" s="547">
        <f t="shared" si="146"/>
        <v>1.9052290728029404E-2</v>
      </c>
      <c r="BK90">
        <f t="shared" si="147"/>
        <v>6.96E-3</v>
      </c>
      <c r="BL90" s="473">
        <f t="shared" si="163"/>
        <v>56.491370005870237</v>
      </c>
      <c r="BM90" s="547">
        <f t="shared" si="148"/>
        <v>2.9749999999999999E-2</v>
      </c>
      <c r="BN90" s="547"/>
      <c r="BP90" s="473">
        <f t="shared" si="164"/>
        <v>29.75</v>
      </c>
      <c r="BQ90" s="547">
        <f t="shared" si="149"/>
        <v>4.9334236111111098E-4</v>
      </c>
      <c r="BR90" s="547">
        <f t="shared" si="150"/>
        <v>3.2967763888888881E-3</v>
      </c>
      <c r="BS90" s="547">
        <f t="shared" si="151"/>
        <v>2.0360753180050381E-3</v>
      </c>
      <c r="BT90" s="547">
        <f t="shared" si="152"/>
        <v>2.0245454545454546E-2</v>
      </c>
      <c r="BU90" s="473">
        <f t="shared" si="165"/>
        <v>26.071648613459583</v>
      </c>
      <c r="BV90" s="180">
        <f t="shared" si="166"/>
        <v>0.11231301861932982</v>
      </c>
      <c r="BW90" s="5">
        <f t="shared" si="167"/>
        <v>0.53549999999999998</v>
      </c>
      <c r="BX90" s="180">
        <f t="shared" si="168"/>
        <v>0.82662741348004987</v>
      </c>
      <c r="BY90" s="5">
        <f t="shared" si="169"/>
        <v>82.662741348004985</v>
      </c>
      <c r="CB90" s="582">
        <f t="shared" si="153"/>
        <v>-50</v>
      </c>
      <c r="CC90">
        <f t="shared" si="154"/>
        <v>-50</v>
      </c>
    </row>
    <row r="91" spans="5:81" x14ac:dyDescent="0.25">
      <c r="E91" s="177">
        <v>86</v>
      </c>
      <c r="F91" s="224">
        <f t="shared" si="155"/>
        <v>8.6000000000000007E-2</v>
      </c>
      <c r="G91" s="224"/>
      <c r="H91" s="224">
        <f t="shared" si="109"/>
        <v>0.54180000000000006</v>
      </c>
      <c r="I91" s="560">
        <f t="shared" si="110"/>
        <v>24</v>
      </c>
      <c r="J91" s="179">
        <f t="shared" si="111"/>
        <v>13.1</v>
      </c>
      <c r="K91" s="455">
        <f t="shared" si="112"/>
        <v>37.1</v>
      </c>
      <c r="L91" s="455"/>
      <c r="M91" s="224">
        <f t="shared" si="113"/>
        <v>0.35309973045822102</v>
      </c>
      <c r="N91" s="179">
        <f t="shared" si="114"/>
        <v>5.5295417789757408</v>
      </c>
      <c r="O91" s="179">
        <f t="shared" si="156"/>
        <v>0.54180000000000006</v>
      </c>
      <c r="P91" s="224">
        <f t="shared" si="115"/>
        <v>0.87770504428186369</v>
      </c>
      <c r="Q91" s="224">
        <f t="shared" si="116"/>
        <v>6.3</v>
      </c>
      <c r="R91" s="224">
        <f t="shared" si="117"/>
        <v>0.97522782697984844</v>
      </c>
      <c r="S91" s="179">
        <f t="shared" si="118"/>
        <v>170.11063295793764</v>
      </c>
      <c r="T91" s="179">
        <f t="shared" si="119"/>
        <v>6.3</v>
      </c>
      <c r="U91" s="224">
        <f t="shared" si="120"/>
        <v>0.14207506361323155</v>
      </c>
      <c r="V91" s="224">
        <f t="shared" si="121"/>
        <v>0.32558868744698904</v>
      </c>
      <c r="W91" s="224">
        <f t="shared" si="122"/>
        <v>0.59649835868150658</v>
      </c>
      <c r="X91" s="204">
        <f t="shared" si="123"/>
        <v>350</v>
      </c>
      <c r="Y91" s="455">
        <f t="shared" si="157"/>
        <v>350</v>
      </c>
      <c r="AA91" s="224">
        <f t="shared" si="124"/>
        <v>0.44022823537648331</v>
      </c>
      <c r="AB91" s="180">
        <f t="shared" si="125"/>
        <v>1.8482864844050828</v>
      </c>
      <c r="AC91" s="180">
        <f t="shared" si="126"/>
        <v>0.28478376412494877</v>
      </c>
      <c r="AD91" s="180"/>
      <c r="AE91" s="180">
        <f t="shared" si="127"/>
        <v>1.217557251908397</v>
      </c>
      <c r="AF91" s="564">
        <f t="shared" si="170"/>
        <v>243.56285806939789</v>
      </c>
      <c r="AG91" s="547">
        <f t="shared" si="128"/>
        <v>0.1235820610687023</v>
      </c>
      <c r="AI91" s="180">
        <f t="shared" si="129"/>
        <v>0.2550047392254054</v>
      </c>
      <c r="AJ91" s="180">
        <f t="shared" si="130"/>
        <v>0.28999999999999998</v>
      </c>
      <c r="AK91" s="180">
        <f t="shared" si="131"/>
        <v>1.1391787760396559</v>
      </c>
      <c r="AM91" s="564">
        <f t="shared" si="132"/>
        <v>86</v>
      </c>
      <c r="AN91" s="473">
        <f t="shared" si="133"/>
        <v>243.56285806939789</v>
      </c>
      <c r="AP91">
        <f t="shared" si="134"/>
        <v>86</v>
      </c>
      <c r="AQ91">
        <f t="shared" si="135"/>
        <v>243.56285806939789</v>
      </c>
      <c r="AS91" s="5">
        <f t="shared" si="158"/>
        <v>4.1057163145748268</v>
      </c>
      <c r="AT91" s="5">
        <f t="shared" si="136"/>
        <v>0.6645833333333333</v>
      </c>
      <c r="AU91" s="5">
        <f t="shared" si="159"/>
        <v>3.4411329812414935</v>
      </c>
      <c r="AV91" s="5">
        <f t="shared" si="137"/>
        <v>1.217557251908397</v>
      </c>
      <c r="AW91" s="180">
        <f t="shared" si="160"/>
        <v>0.16186781609195403</v>
      </c>
      <c r="AX91" s="180">
        <f t="shared" si="138"/>
        <v>0.56330000000000002</v>
      </c>
      <c r="AY91" s="180">
        <f t="shared" si="139"/>
        <v>0.24305833333333332</v>
      </c>
      <c r="AZ91" s="180">
        <f t="shared" si="161"/>
        <v>2.3175506565639252</v>
      </c>
      <c r="BA91" s="473">
        <f t="shared" si="140"/>
        <v>0.90720899470899474</v>
      </c>
      <c r="BB91" s="5">
        <f t="shared" si="141"/>
        <v>7.1929238010672886E-2</v>
      </c>
      <c r="BC91" s="5"/>
      <c r="BD91" s="180">
        <f t="shared" si="162"/>
        <v>6.7362411213112344E-2</v>
      </c>
      <c r="BE91" s="180">
        <f t="shared" si="142"/>
        <v>0.30656574426304639</v>
      </c>
      <c r="BF91" s="180"/>
      <c r="BG91" s="547">
        <f t="shared" si="143"/>
        <v>1.5881930555555553E-3</v>
      </c>
      <c r="BH91" s="547">
        <f t="shared" si="144"/>
        <v>2.6204927899686519E-2</v>
      </c>
      <c r="BI91" s="547">
        <f t="shared" si="145"/>
        <v>3.0445357258674739E-3</v>
      </c>
      <c r="BJ91" s="547">
        <f t="shared" si="146"/>
        <v>1.9276435324829748E-2</v>
      </c>
      <c r="BK91">
        <f t="shared" si="147"/>
        <v>6.96E-3</v>
      </c>
      <c r="BL91" s="473">
        <f t="shared" si="163"/>
        <v>57.074092005939299</v>
      </c>
      <c r="BM91" s="547">
        <f t="shared" si="148"/>
        <v>3.0100000000000002E-2</v>
      </c>
      <c r="BN91" s="547"/>
      <c r="BP91" s="473">
        <f t="shared" si="164"/>
        <v>30.1</v>
      </c>
      <c r="BQ91" s="547">
        <f t="shared" si="149"/>
        <v>4.9914638888888887E-4</v>
      </c>
      <c r="BR91" s="547">
        <f t="shared" si="150"/>
        <v>3.2893894444444446E-3</v>
      </c>
      <c r="BS91" s="547">
        <f t="shared" si="151"/>
        <v>2.0964893139771941E-3</v>
      </c>
      <c r="BT91" s="547">
        <f t="shared" si="152"/>
        <v>2.0483636363636364E-2</v>
      </c>
      <c r="BU91" s="473">
        <f t="shared" si="165"/>
        <v>26.36866151094689</v>
      </c>
      <c r="BV91" s="180">
        <f t="shared" si="166"/>
        <v>0.1135427535168862</v>
      </c>
      <c r="BW91" s="5">
        <f t="shared" si="167"/>
        <v>0.54180000000000006</v>
      </c>
      <c r="BX91" s="180">
        <f t="shared" si="168"/>
        <v>0.82674294801069992</v>
      </c>
      <c r="BY91" s="5">
        <f t="shared" si="169"/>
        <v>82.674294801069991</v>
      </c>
      <c r="CB91" s="582">
        <f t="shared" si="153"/>
        <v>-50</v>
      </c>
      <c r="CC91">
        <f t="shared" si="154"/>
        <v>-50</v>
      </c>
    </row>
    <row r="92" spans="5:81" x14ac:dyDescent="0.25">
      <c r="E92" s="177">
        <v>87</v>
      </c>
      <c r="F92" s="224">
        <f t="shared" si="155"/>
        <v>8.7000000000000008E-2</v>
      </c>
      <c r="G92" s="224"/>
      <c r="H92" s="224">
        <f t="shared" si="109"/>
        <v>0.54810000000000003</v>
      </c>
      <c r="I92" s="560">
        <f t="shared" si="110"/>
        <v>24</v>
      </c>
      <c r="J92" s="179">
        <f t="shared" si="111"/>
        <v>13.1</v>
      </c>
      <c r="K92" s="455">
        <f t="shared" si="112"/>
        <v>37.1</v>
      </c>
      <c r="L92" s="455"/>
      <c r="M92" s="224">
        <f t="shared" si="113"/>
        <v>0.35309973045822102</v>
      </c>
      <c r="N92" s="179">
        <f t="shared" si="114"/>
        <v>5.5295417789757408</v>
      </c>
      <c r="O92" s="179">
        <f t="shared" si="156"/>
        <v>0.54810000000000003</v>
      </c>
      <c r="P92" s="224">
        <f t="shared" si="115"/>
        <v>0.87770504428186369</v>
      </c>
      <c r="Q92" s="224">
        <f t="shared" si="116"/>
        <v>6.3</v>
      </c>
      <c r="R92" s="224">
        <f t="shared" si="117"/>
        <v>0.97522782697984844</v>
      </c>
      <c r="S92" s="179">
        <f t="shared" si="118"/>
        <v>168.01782871998063</v>
      </c>
      <c r="T92" s="179">
        <f t="shared" si="119"/>
        <v>6.3</v>
      </c>
      <c r="U92" s="224">
        <f t="shared" si="120"/>
        <v>0.14372709923664123</v>
      </c>
      <c r="V92" s="224">
        <f t="shared" si="121"/>
        <v>0.32937460241730282</v>
      </c>
      <c r="W92" s="224">
        <f t="shared" si="122"/>
        <v>0.60343438610803568</v>
      </c>
      <c r="X92" s="204">
        <f t="shared" si="123"/>
        <v>350</v>
      </c>
      <c r="Y92" s="455">
        <f t="shared" si="157"/>
        <v>350</v>
      </c>
      <c r="AA92" s="224">
        <f t="shared" si="124"/>
        <v>0.44022823537648331</v>
      </c>
      <c r="AB92" s="180">
        <f t="shared" si="125"/>
        <v>1.8482864844050828</v>
      </c>
      <c r="AC92" s="180">
        <f t="shared" si="126"/>
        <v>0.28478376412494877</v>
      </c>
      <c r="AD92" s="180"/>
      <c r="AE92" s="180">
        <f t="shared" si="127"/>
        <v>1.217557251908397</v>
      </c>
      <c r="AF92" s="564">
        <f t="shared" si="170"/>
        <v>246.3949843260188</v>
      </c>
      <c r="AG92" s="547">
        <f t="shared" si="128"/>
        <v>0.1235820610687023</v>
      </c>
      <c r="AI92" s="180">
        <f t="shared" si="129"/>
        <v>0.25648303995303429</v>
      </c>
      <c r="AJ92" s="180">
        <f t="shared" si="130"/>
        <v>0.28999999999999998</v>
      </c>
      <c r="AK92" s="180">
        <f t="shared" si="131"/>
        <v>1.1407971339005822</v>
      </c>
      <c r="AM92" s="564">
        <f t="shared" si="132"/>
        <v>87.000000000000014</v>
      </c>
      <c r="AN92" s="473">
        <f t="shared" si="133"/>
        <v>246.3949843260188</v>
      </c>
      <c r="AP92">
        <f t="shared" si="134"/>
        <v>87.000000000000014</v>
      </c>
      <c r="AQ92">
        <f t="shared" si="135"/>
        <v>246.3949843260188</v>
      </c>
      <c r="AS92" s="5">
        <f t="shared" si="158"/>
        <v>4.0585241730279904</v>
      </c>
      <c r="AT92" s="5">
        <f t="shared" si="136"/>
        <v>0.6645833333333333</v>
      </c>
      <c r="AU92" s="5">
        <f t="shared" si="159"/>
        <v>3.3939408396946571</v>
      </c>
      <c r="AV92" s="5">
        <f t="shared" si="137"/>
        <v>1.217557251908397</v>
      </c>
      <c r="AW92" s="180">
        <f t="shared" si="160"/>
        <v>0.16374999999999998</v>
      </c>
      <c r="AX92" s="180">
        <f t="shared" si="138"/>
        <v>0.56984999999999997</v>
      </c>
      <c r="AY92" s="180">
        <f t="shared" si="139"/>
        <v>0.24251249999999999</v>
      </c>
      <c r="AZ92" s="180">
        <f t="shared" si="161"/>
        <v>2.3497757847533634</v>
      </c>
      <c r="BA92" s="473">
        <f t="shared" si="140"/>
        <v>0.91775793650793658</v>
      </c>
      <c r="BB92" s="5">
        <f t="shared" si="141"/>
        <v>7.1767707339376582E-2</v>
      </c>
      <c r="BC92" s="5"/>
      <c r="BD92" s="180">
        <f t="shared" si="162"/>
        <v>6.7752921216234899E-2</v>
      </c>
      <c r="BE92" s="180">
        <f t="shared" si="142"/>
        <v>0.30622132518817163</v>
      </c>
      <c r="BF92" s="180"/>
      <c r="BG92" s="547">
        <f t="shared" si="143"/>
        <v>1.6066604166666664E-3</v>
      </c>
      <c r="BH92" s="547">
        <f t="shared" si="144"/>
        <v>2.6509636363636364E-2</v>
      </c>
      <c r="BI92" s="547">
        <f t="shared" si="145"/>
        <v>3.0799373040752351E-3</v>
      </c>
      <c r="BJ92" s="547">
        <f t="shared" si="146"/>
        <v>1.9500579921630096E-2</v>
      </c>
      <c r="BK92">
        <f t="shared" si="147"/>
        <v>6.96E-3</v>
      </c>
      <c r="BL92" s="473">
        <f t="shared" si="163"/>
        <v>57.656814006008361</v>
      </c>
      <c r="BM92" s="547">
        <f t="shared" si="148"/>
        <v>3.0450000000000001E-2</v>
      </c>
      <c r="BN92" s="547"/>
      <c r="BP92" s="473">
        <f t="shared" si="164"/>
        <v>30.450000000000003</v>
      </c>
      <c r="BQ92" s="547">
        <f t="shared" si="149"/>
        <v>5.0495041666666655E-4</v>
      </c>
      <c r="BR92" s="547">
        <f t="shared" si="150"/>
        <v>3.2820024999999984E-3</v>
      </c>
      <c r="BS92" s="547">
        <f t="shared" si="151"/>
        <v>2.1579662916666985E-3</v>
      </c>
      <c r="BT92" s="547">
        <f t="shared" si="152"/>
        <v>2.0721818181818182E-2</v>
      </c>
      <c r="BU92" s="473">
        <f t="shared" si="165"/>
        <v>26.666737390151546</v>
      </c>
      <c r="BV92" s="180">
        <f t="shared" si="166"/>
        <v>0.11477355139615991</v>
      </c>
      <c r="BW92" s="5">
        <f t="shared" si="167"/>
        <v>0.54810000000000003</v>
      </c>
      <c r="BX92" s="180">
        <f t="shared" si="168"/>
        <v>0.82685453182673962</v>
      </c>
      <c r="BY92" s="5">
        <f t="shared" si="169"/>
        <v>82.685453182673967</v>
      </c>
      <c r="CB92" s="582">
        <f t="shared" si="153"/>
        <v>-50</v>
      </c>
      <c r="CC92">
        <f t="shared" si="154"/>
        <v>-50</v>
      </c>
    </row>
    <row r="93" spans="5:81" x14ac:dyDescent="0.25">
      <c r="E93" s="177">
        <v>88</v>
      </c>
      <c r="F93" s="224">
        <f t="shared" si="155"/>
        <v>8.8000000000000009E-2</v>
      </c>
      <c r="G93" s="224"/>
      <c r="H93" s="224">
        <f t="shared" si="109"/>
        <v>0.5544</v>
      </c>
      <c r="I93" s="560">
        <f t="shared" si="110"/>
        <v>24</v>
      </c>
      <c r="J93" s="179">
        <f t="shared" si="111"/>
        <v>13.1</v>
      </c>
      <c r="K93" s="455">
        <f t="shared" si="112"/>
        <v>37.1</v>
      </c>
      <c r="L93" s="455"/>
      <c r="M93" s="224">
        <f t="shared" si="113"/>
        <v>0.35309973045822102</v>
      </c>
      <c r="N93" s="179">
        <f t="shared" si="114"/>
        <v>5.5295417789757408</v>
      </c>
      <c r="O93" s="179">
        <f t="shared" si="156"/>
        <v>0.5544</v>
      </c>
      <c r="P93" s="224">
        <f t="shared" si="115"/>
        <v>0.87770504428186369</v>
      </c>
      <c r="Q93" s="224">
        <f t="shared" si="116"/>
        <v>6.3</v>
      </c>
      <c r="R93" s="224">
        <f t="shared" si="117"/>
        <v>0.97522782697984844</v>
      </c>
      <c r="S93" s="179">
        <f t="shared" si="118"/>
        <v>165.97259354257042</v>
      </c>
      <c r="T93" s="179">
        <f t="shared" si="119"/>
        <v>6.3</v>
      </c>
      <c r="U93" s="224">
        <f t="shared" si="120"/>
        <v>0.14537913486005088</v>
      </c>
      <c r="V93" s="224">
        <f t="shared" si="121"/>
        <v>0.33316051738761659</v>
      </c>
      <c r="W93" s="224">
        <f t="shared" si="122"/>
        <v>0.61037041353456478</v>
      </c>
      <c r="X93" s="204">
        <f t="shared" si="123"/>
        <v>350</v>
      </c>
      <c r="Y93" s="455">
        <f t="shared" si="157"/>
        <v>350</v>
      </c>
      <c r="AA93" s="224">
        <f t="shared" si="124"/>
        <v>0.44022823537648331</v>
      </c>
      <c r="AB93" s="180">
        <f t="shared" si="125"/>
        <v>1.8482864844050828</v>
      </c>
      <c r="AC93" s="180">
        <f t="shared" si="126"/>
        <v>0.28478376412494877</v>
      </c>
      <c r="AD93" s="180"/>
      <c r="AE93" s="180">
        <f t="shared" si="127"/>
        <v>1.217557251908397</v>
      </c>
      <c r="AF93" s="564">
        <f t="shared" si="170"/>
        <v>249.22711058263968</v>
      </c>
      <c r="AG93" s="547">
        <f t="shared" si="128"/>
        <v>0.1235820610687023</v>
      </c>
      <c r="AI93" s="180">
        <f t="shared" si="129"/>
        <v>0.25795286883398399</v>
      </c>
      <c r="AJ93" s="180">
        <f t="shared" si="130"/>
        <v>0.28999999999999998</v>
      </c>
      <c r="AK93" s="180">
        <f t="shared" si="131"/>
        <v>1.1424154917615084</v>
      </c>
      <c r="AM93" s="564">
        <f t="shared" si="132"/>
        <v>88.000000000000014</v>
      </c>
      <c r="AN93" s="473">
        <f t="shared" si="133"/>
        <v>249.22711058263968</v>
      </c>
      <c r="AP93">
        <f t="shared" si="134"/>
        <v>88.000000000000014</v>
      </c>
      <c r="AQ93">
        <f t="shared" si="135"/>
        <v>249.22711058263968</v>
      </c>
      <c r="AS93" s="5">
        <f t="shared" si="158"/>
        <v>4.0124045801526727</v>
      </c>
      <c r="AT93" s="5">
        <f t="shared" si="136"/>
        <v>0.6645833333333333</v>
      </c>
      <c r="AU93" s="5">
        <f t="shared" si="159"/>
        <v>3.3478212468193393</v>
      </c>
      <c r="AV93" s="5">
        <f t="shared" si="137"/>
        <v>1.217557251908397</v>
      </c>
      <c r="AW93" s="180">
        <f t="shared" si="160"/>
        <v>0.16563218390804593</v>
      </c>
      <c r="AX93" s="180">
        <f t="shared" si="138"/>
        <v>0.57639999999999991</v>
      </c>
      <c r="AY93" s="180">
        <f t="shared" si="139"/>
        <v>0.24196666666666666</v>
      </c>
      <c r="AZ93" s="180">
        <f t="shared" si="161"/>
        <v>2.3821463011434076</v>
      </c>
      <c r="BA93" s="473">
        <f t="shared" si="140"/>
        <v>0.9283068783068783</v>
      </c>
      <c r="BB93" s="5">
        <f t="shared" si="141"/>
        <v>7.1606176668080307E-2</v>
      </c>
      <c r="BC93" s="5"/>
      <c r="BD93" s="180">
        <f t="shared" si="162"/>
        <v>6.8141193284401921E-2</v>
      </c>
      <c r="BE93" s="180">
        <f t="shared" si="142"/>
        <v>0.30587651829528273</v>
      </c>
      <c r="BF93" s="180"/>
      <c r="BG93" s="547">
        <f t="shared" si="143"/>
        <v>1.6251277777777774E-3</v>
      </c>
      <c r="BH93" s="547">
        <f t="shared" si="144"/>
        <v>2.6814344827586208E-2</v>
      </c>
      <c r="BI93" s="547">
        <f t="shared" si="145"/>
        <v>3.1153388822829958E-3</v>
      </c>
      <c r="BJ93" s="547">
        <f t="shared" si="146"/>
        <v>1.972472451843044E-2</v>
      </c>
      <c r="BK93">
        <f t="shared" si="147"/>
        <v>6.96E-3</v>
      </c>
      <c r="BL93" s="473">
        <f t="shared" si="163"/>
        <v>58.239536006077415</v>
      </c>
      <c r="BM93" s="547">
        <f t="shared" si="148"/>
        <v>3.0800000000000001E-2</v>
      </c>
      <c r="BN93" s="547"/>
      <c r="BP93" s="473">
        <f t="shared" si="164"/>
        <v>30.8</v>
      </c>
      <c r="BQ93" s="547">
        <f t="shared" si="149"/>
        <v>5.1075444444444434E-4</v>
      </c>
      <c r="BR93" s="547">
        <f t="shared" si="150"/>
        <v>3.2746155555555554E-3</v>
      </c>
      <c r="BS93" s="547">
        <f t="shared" si="151"/>
        <v>2.2205124134068699E-3</v>
      </c>
      <c r="BT93" s="547">
        <f t="shared" si="152"/>
        <v>2.0959999999999999E-2</v>
      </c>
      <c r="BU93" s="473">
        <f t="shared" si="165"/>
        <v>26.965882413406867</v>
      </c>
      <c r="BV93" s="180">
        <f t="shared" si="166"/>
        <v>0.11600541841948428</v>
      </c>
      <c r="BW93" s="5">
        <f t="shared" si="167"/>
        <v>0.5544</v>
      </c>
      <c r="BX93" s="180">
        <f t="shared" si="168"/>
        <v>0.82696228993349563</v>
      </c>
      <c r="BY93" s="5">
        <f t="shared" si="169"/>
        <v>82.696228993349564</v>
      </c>
      <c r="CB93" s="582">
        <f t="shared" si="153"/>
        <v>-50</v>
      </c>
      <c r="CC93">
        <f t="shared" si="154"/>
        <v>-50</v>
      </c>
    </row>
    <row r="94" spans="5:81" x14ac:dyDescent="0.25">
      <c r="E94" s="177">
        <v>89</v>
      </c>
      <c r="F94" s="224">
        <f t="shared" si="155"/>
        <v>8.900000000000001E-2</v>
      </c>
      <c r="G94" s="224"/>
      <c r="H94" s="224">
        <f t="shared" si="109"/>
        <v>0.56070000000000009</v>
      </c>
      <c r="I94" s="560">
        <f t="shared" si="110"/>
        <v>24</v>
      </c>
      <c r="J94" s="179">
        <f t="shared" si="111"/>
        <v>13.1</v>
      </c>
      <c r="K94" s="455">
        <f t="shared" si="112"/>
        <v>37.1</v>
      </c>
      <c r="L94" s="455"/>
      <c r="M94" s="224">
        <f t="shared" si="113"/>
        <v>0.35309973045822102</v>
      </c>
      <c r="N94" s="179">
        <f t="shared" si="114"/>
        <v>5.5295417789757408</v>
      </c>
      <c r="O94" s="179">
        <f t="shared" si="156"/>
        <v>0.56070000000000009</v>
      </c>
      <c r="P94" s="224">
        <f t="shared" si="115"/>
        <v>0.87770504428186369</v>
      </c>
      <c r="Q94" s="224">
        <f t="shared" si="116"/>
        <v>6.3</v>
      </c>
      <c r="R94" s="224">
        <f t="shared" si="117"/>
        <v>0.97522782697984844</v>
      </c>
      <c r="S94" s="179">
        <f t="shared" si="118"/>
        <v>163.97332398685143</v>
      </c>
      <c r="T94" s="179">
        <f t="shared" si="119"/>
        <v>6.3</v>
      </c>
      <c r="U94" s="224">
        <f t="shared" si="120"/>
        <v>0.14703117048346057</v>
      </c>
      <c r="V94" s="224">
        <f t="shared" si="121"/>
        <v>0.33694643235793048</v>
      </c>
      <c r="W94" s="224">
        <f t="shared" si="122"/>
        <v>0.61730644096109411</v>
      </c>
      <c r="X94" s="204">
        <f t="shared" si="123"/>
        <v>350</v>
      </c>
      <c r="Y94" s="455">
        <f t="shared" si="157"/>
        <v>350</v>
      </c>
      <c r="AA94" s="224">
        <f t="shared" si="124"/>
        <v>0.44022823537648331</v>
      </c>
      <c r="AB94" s="180">
        <f t="shared" si="125"/>
        <v>1.8482864844050828</v>
      </c>
      <c r="AC94" s="180">
        <f t="shared" si="126"/>
        <v>0.28478376412494877</v>
      </c>
      <c r="AD94" s="180"/>
      <c r="AE94" s="180">
        <f t="shared" si="127"/>
        <v>1.217557251908397</v>
      </c>
      <c r="AF94" s="564">
        <f t="shared" si="170"/>
        <v>252.05923683926062</v>
      </c>
      <c r="AG94" s="547">
        <f t="shared" si="128"/>
        <v>0.1235820610687023</v>
      </c>
      <c r="AI94" s="180">
        <f t="shared" si="129"/>
        <v>0.25941436987147665</v>
      </c>
      <c r="AJ94" s="180">
        <f t="shared" si="130"/>
        <v>0.28999999999999998</v>
      </c>
      <c r="AK94" s="180">
        <f t="shared" si="131"/>
        <v>1.1440338496224347</v>
      </c>
      <c r="AM94" s="564">
        <f t="shared" si="132"/>
        <v>89.000000000000014</v>
      </c>
      <c r="AN94" s="473">
        <f t="shared" si="133"/>
        <v>252.05923683926062</v>
      </c>
      <c r="AP94">
        <f t="shared" si="134"/>
        <v>89.000000000000014</v>
      </c>
      <c r="AQ94">
        <f t="shared" si="135"/>
        <v>252.05923683926062</v>
      </c>
      <c r="AS94" s="5">
        <f t="shared" si="158"/>
        <v>3.9673213826228668</v>
      </c>
      <c r="AT94" s="5">
        <f t="shared" si="136"/>
        <v>0.6645833333333333</v>
      </c>
      <c r="AU94" s="5">
        <f t="shared" si="159"/>
        <v>3.3027380492895335</v>
      </c>
      <c r="AV94" s="5">
        <f t="shared" si="137"/>
        <v>1.217557251908397</v>
      </c>
      <c r="AW94" s="180">
        <f t="shared" si="160"/>
        <v>0.16751436781609194</v>
      </c>
      <c r="AX94" s="180">
        <f t="shared" si="138"/>
        <v>0.58295000000000008</v>
      </c>
      <c r="AY94" s="180">
        <f t="shared" si="139"/>
        <v>0.24142083333333331</v>
      </c>
      <c r="AZ94" s="180">
        <f t="shared" si="161"/>
        <v>2.4146631918675898</v>
      </c>
      <c r="BA94" s="473">
        <f t="shared" si="140"/>
        <v>0.93885582010582014</v>
      </c>
      <c r="BB94" s="5">
        <f t="shared" si="141"/>
        <v>7.1444645996784004E-2</v>
      </c>
      <c r="BC94" s="5"/>
      <c r="BD94" s="180">
        <f t="shared" si="162"/>
        <v>6.8527265457707487E-2</v>
      </c>
      <c r="BE94" s="180">
        <f t="shared" si="142"/>
        <v>0.30553132227136526</v>
      </c>
      <c r="BF94" s="180"/>
      <c r="BG94" s="547">
        <f t="shared" si="143"/>
        <v>1.6435951388888883E-3</v>
      </c>
      <c r="BH94" s="547">
        <f t="shared" si="144"/>
        <v>2.7119053291536053E-2</v>
      </c>
      <c r="BI94" s="547">
        <f t="shared" si="145"/>
        <v>3.1507404604907579E-3</v>
      </c>
      <c r="BJ94" s="547">
        <f t="shared" si="146"/>
        <v>1.9948869115230784E-2</v>
      </c>
      <c r="BK94">
        <f t="shared" si="147"/>
        <v>6.96E-3</v>
      </c>
      <c r="BL94" s="473">
        <f t="shared" si="163"/>
        <v>58.822258006146484</v>
      </c>
      <c r="BM94" s="547">
        <f t="shared" si="148"/>
        <v>3.1150000000000001E-2</v>
      </c>
      <c r="BN94" s="547"/>
      <c r="BP94" s="473">
        <f t="shared" si="164"/>
        <v>31.150000000000002</v>
      </c>
      <c r="BQ94" s="547">
        <f t="shared" si="149"/>
        <v>5.1655847222222212E-4</v>
      </c>
      <c r="BR94" s="547">
        <f t="shared" si="150"/>
        <v>3.2672286111111101E-3</v>
      </c>
      <c r="BS94" s="547">
        <f t="shared" si="151"/>
        <v>2.2841338062147536E-3</v>
      </c>
      <c r="BT94" s="547">
        <f t="shared" si="152"/>
        <v>2.1198181818181821E-2</v>
      </c>
      <c r="BU94" s="473">
        <f t="shared" si="165"/>
        <v>27.266102707729907</v>
      </c>
      <c r="BV94" s="180">
        <f t="shared" si="166"/>
        <v>0.1172383607138764</v>
      </c>
      <c r="BW94" s="5">
        <f t="shared" si="167"/>
        <v>0.56070000000000009</v>
      </c>
      <c r="BX94" s="180">
        <f t="shared" si="168"/>
        <v>0.82706634185676831</v>
      </c>
      <c r="BY94" s="5">
        <f t="shared" si="169"/>
        <v>82.706634185676833</v>
      </c>
      <c r="CB94" s="582">
        <f t="shared" si="153"/>
        <v>-50</v>
      </c>
      <c r="CC94">
        <f t="shared" si="154"/>
        <v>-50</v>
      </c>
    </row>
    <row r="95" spans="5:81" x14ac:dyDescent="0.25">
      <c r="E95" s="177">
        <v>90</v>
      </c>
      <c r="F95" s="224">
        <f t="shared" si="155"/>
        <v>9.0000000000000011E-2</v>
      </c>
      <c r="G95" s="224"/>
      <c r="H95" s="224">
        <f t="shared" si="109"/>
        <v>0.56700000000000006</v>
      </c>
      <c r="I95" s="560">
        <f t="shared" si="110"/>
        <v>24</v>
      </c>
      <c r="J95" s="179">
        <f t="shared" si="111"/>
        <v>13.1</v>
      </c>
      <c r="K95" s="455">
        <f t="shared" si="112"/>
        <v>37.1</v>
      </c>
      <c r="L95" s="455"/>
      <c r="M95" s="224">
        <f t="shared" si="113"/>
        <v>0.35309973045822102</v>
      </c>
      <c r="N95" s="179">
        <f t="shared" si="114"/>
        <v>5.5295417789757408</v>
      </c>
      <c r="O95" s="179">
        <f t="shared" si="156"/>
        <v>0.56700000000000006</v>
      </c>
      <c r="P95" s="224">
        <f t="shared" si="115"/>
        <v>0.87770504428186369</v>
      </c>
      <c r="Q95" s="224">
        <f t="shared" si="116"/>
        <v>6.3</v>
      </c>
      <c r="R95" s="224">
        <f t="shared" si="117"/>
        <v>0.97522782697984844</v>
      </c>
      <c r="S95" s="179">
        <f t="shared" si="118"/>
        <v>162.01848787795603</v>
      </c>
      <c r="T95" s="179">
        <f t="shared" si="119"/>
        <v>6.3</v>
      </c>
      <c r="U95" s="224">
        <f t="shared" si="120"/>
        <v>0.14868320610687025</v>
      </c>
      <c r="V95" s="224">
        <f t="shared" si="121"/>
        <v>0.34073234732824437</v>
      </c>
      <c r="W95" s="224">
        <f t="shared" si="122"/>
        <v>0.62424246838762321</v>
      </c>
      <c r="X95" s="204">
        <f t="shared" si="123"/>
        <v>350</v>
      </c>
      <c r="Y95" s="455">
        <f t="shared" si="157"/>
        <v>350</v>
      </c>
      <c r="AA95" s="224">
        <f t="shared" si="124"/>
        <v>0.44022823537648331</v>
      </c>
      <c r="AB95" s="180">
        <f t="shared" si="125"/>
        <v>1.8482864844050828</v>
      </c>
      <c r="AC95" s="180">
        <f t="shared" si="126"/>
        <v>0.28478376412494877</v>
      </c>
      <c r="AD95" s="180"/>
      <c r="AE95" s="180">
        <f t="shared" si="127"/>
        <v>1.217557251908397</v>
      </c>
      <c r="AF95" s="564">
        <f t="shared" si="170"/>
        <v>254.89136309588153</v>
      </c>
      <c r="AG95" s="547">
        <f t="shared" si="128"/>
        <v>0.1235820610687023</v>
      </c>
      <c r="AI95" s="180">
        <f t="shared" si="129"/>
        <v>0.26086768303480606</v>
      </c>
      <c r="AJ95" s="180">
        <f t="shared" si="130"/>
        <v>0.28999999999999998</v>
      </c>
      <c r="AK95" s="180">
        <f t="shared" si="131"/>
        <v>1.1456522074833608</v>
      </c>
      <c r="AM95" s="564">
        <f t="shared" si="132"/>
        <v>90.000000000000014</v>
      </c>
      <c r="AN95" s="473">
        <f t="shared" si="133"/>
        <v>254.89136309588153</v>
      </c>
      <c r="AP95">
        <f t="shared" si="134"/>
        <v>90.000000000000014</v>
      </c>
      <c r="AQ95">
        <f t="shared" si="135"/>
        <v>254.89136309588153</v>
      </c>
      <c r="AS95" s="5">
        <f t="shared" si="158"/>
        <v>3.923240033927057</v>
      </c>
      <c r="AT95" s="5">
        <f t="shared" si="136"/>
        <v>0.6645833333333333</v>
      </c>
      <c r="AU95" s="5">
        <f t="shared" si="159"/>
        <v>3.2586567005937237</v>
      </c>
      <c r="AV95" s="5">
        <f t="shared" si="137"/>
        <v>1.217557251908397</v>
      </c>
      <c r="AW95" s="180">
        <f t="shared" si="160"/>
        <v>0.16939655172413792</v>
      </c>
      <c r="AX95" s="180">
        <f t="shared" si="138"/>
        <v>0.58949999999999991</v>
      </c>
      <c r="AY95" s="180">
        <f t="shared" si="139"/>
        <v>0.24087499999999998</v>
      </c>
      <c r="AZ95" s="180">
        <f t="shared" si="161"/>
        <v>2.447327451997924</v>
      </c>
      <c r="BA95" s="473">
        <f t="shared" si="140"/>
        <v>0.94940476190476197</v>
      </c>
      <c r="BB95" s="5">
        <f t="shared" si="141"/>
        <v>7.12831153254877E-2</v>
      </c>
      <c r="BC95" s="5"/>
      <c r="BD95" s="180">
        <f t="shared" si="162"/>
        <v>6.8911174710637443E-2</v>
      </c>
      <c r="BE95" s="180">
        <f t="shared" si="142"/>
        <v>0.30518573579597941</v>
      </c>
      <c r="BF95" s="180"/>
      <c r="BG95" s="547">
        <f t="shared" si="143"/>
        <v>1.662062499999999E-3</v>
      </c>
      <c r="BH95" s="547">
        <f t="shared" si="144"/>
        <v>2.7423761755485894E-2</v>
      </c>
      <c r="BI95" s="547">
        <f t="shared" si="145"/>
        <v>3.1861420386985191E-3</v>
      </c>
      <c r="BJ95" s="547">
        <f t="shared" si="146"/>
        <v>2.0173013712031132E-2</v>
      </c>
      <c r="BK95">
        <f t="shared" si="147"/>
        <v>6.96E-3</v>
      </c>
      <c r="BL95" s="473">
        <f t="shared" si="163"/>
        <v>59.404980006215546</v>
      </c>
      <c r="BM95" s="547">
        <f t="shared" si="148"/>
        <v>3.15E-2</v>
      </c>
      <c r="BN95" s="547"/>
      <c r="BP95" s="473">
        <f t="shared" si="164"/>
        <v>31.5</v>
      </c>
      <c r="BQ95" s="547">
        <f t="shared" si="149"/>
        <v>5.223624999999998E-4</v>
      </c>
      <c r="BR95" s="547">
        <f t="shared" si="150"/>
        <v>3.2598416666666675E-3</v>
      </c>
      <c r="BS95" s="547">
        <f t="shared" si="151"/>
        <v>2.3488365623914654E-3</v>
      </c>
      <c r="BT95" s="547">
        <f t="shared" si="152"/>
        <v>2.1436363636363639E-2</v>
      </c>
      <c r="BU95" s="473">
        <f t="shared" si="165"/>
        <v>27.567404365421773</v>
      </c>
      <c r="BV95" s="180">
        <f t="shared" si="166"/>
        <v>0.11847238437163732</v>
      </c>
      <c r="BW95" s="5">
        <f t="shared" si="167"/>
        <v>0.56700000000000006</v>
      </c>
      <c r="BX95" s="180">
        <f t="shared" si="168"/>
        <v>0.82716680194164316</v>
      </c>
      <c r="BY95" s="5">
        <f t="shared" si="169"/>
        <v>82.716680194164312</v>
      </c>
      <c r="CB95" s="582">
        <f t="shared" si="153"/>
        <v>-50</v>
      </c>
      <c r="CC95">
        <f t="shared" si="154"/>
        <v>-50</v>
      </c>
    </row>
    <row r="96" spans="5:81" x14ac:dyDescent="0.25">
      <c r="E96" s="177">
        <v>91</v>
      </c>
      <c r="F96" s="224">
        <f t="shared" si="155"/>
        <v>9.1000000000000011E-2</v>
      </c>
      <c r="G96" s="224"/>
      <c r="H96" s="224">
        <f t="shared" si="109"/>
        <v>0.57330000000000003</v>
      </c>
      <c r="I96" s="560">
        <f t="shared" si="110"/>
        <v>24</v>
      </c>
      <c r="J96" s="179">
        <f t="shared" si="111"/>
        <v>13.1</v>
      </c>
      <c r="K96" s="455">
        <f t="shared" si="112"/>
        <v>37.1</v>
      </c>
      <c r="L96" s="455"/>
      <c r="M96" s="224">
        <f t="shared" si="113"/>
        <v>0.35309973045822102</v>
      </c>
      <c r="N96" s="179">
        <f t="shared" si="114"/>
        <v>5.5295417789757408</v>
      </c>
      <c r="O96" s="179">
        <f t="shared" si="156"/>
        <v>0.57330000000000003</v>
      </c>
      <c r="P96" s="224">
        <f t="shared" si="115"/>
        <v>0.87770504428186369</v>
      </c>
      <c r="Q96" s="224">
        <f t="shared" si="116"/>
        <v>6.3</v>
      </c>
      <c r="R96" s="224">
        <f t="shared" si="117"/>
        <v>0.97522782697984844</v>
      </c>
      <c r="S96" s="179">
        <f t="shared" si="118"/>
        <v>160.10662038940106</v>
      </c>
      <c r="T96" s="224">
        <f t="shared" si="119"/>
        <v>6.3</v>
      </c>
      <c r="U96" s="224">
        <f t="shared" si="120"/>
        <v>0.1503352417302799</v>
      </c>
      <c r="V96" s="224">
        <f t="shared" si="121"/>
        <v>0.34451826229855809</v>
      </c>
      <c r="W96" s="224">
        <f t="shared" si="122"/>
        <v>0.6311784958141522</v>
      </c>
      <c r="X96" s="204">
        <f t="shared" si="123"/>
        <v>350</v>
      </c>
      <c r="Y96" s="455">
        <f t="shared" si="157"/>
        <v>350</v>
      </c>
      <c r="AA96" s="224">
        <f t="shared" si="124"/>
        <v>0.44022823537648331</v>
      </c>
      <c r="AB96" s="180">
        <f t="shared" si="125"/>
        <v>1.8482864844050828</v>
      </c>
      <c r="AC96" s="180">
        <f t="shared" si="126"/>
        <v>0.28478376412494877</v>
      </c>
      <c r="AD96" s="180"/>
      <c r="AE96" s="180">
        <f t="shared" si="127"/>
        <v>1.217557251908397</v>
      </c>
      <c r="AF96" s="564">
        <f t="shared" si="170"/>
        <v>257.72348935250244</v>
      </c>
      <c r="AG96" s="547">
        <f t="shared" si="128"/>
        <v>0.1235820610687023</v>
      </c>
      <c r="AI96" s="180">
        <f t="shared" si="129"/>
        <v>0.26231294441578901</v>
      </c>
      <c r="AJ96" s="180">
        <f t="shared" si="130"/>
        <v>0.28999999999999998</v>
      </c>
      <c r="AK96" s="180">
        <f t="shared" si="131"/>
        <v>1.1472705653442872</v>
      </c>
      <c r="AM96" s="564">
        <f t="shared" si="132"/>
        <v>91.000000000000014</v>
      </c>
      <c r="AN96" s="473">
        <f t="shared" si="133"/>
        <v>257.72348935250244</v>
      </c>
      <c r="AP96">
        <f t="shared" si="134"/>
        <v>91.000000000000014</v>
      </c>
      <c r="AQ96">
        <f t="shared" si="135"/>
        <v>257.72348935250244</v>
      </c>
      <c r="AS96" s="5">
        <f t="shared" si="158"/>
        <v>3.8801275060817044</v>
      </c>
      <c r="AT96" s="5">
        <f t="shared" si="136"/>
        <v>0.6645833333333333</v>
      </c>
      <c r="AU96" s="5">
        <f t="shared" si="159"/>
        <v>3.2155441727483711</v>
      </c>
      <c r="AV96" s="5">
        <f t="shared" si="137"/>
        <v>1.217557251908397</v>
      </c>
      <c r="AW96" s="180">
        <f t="shared" si="160"/>
        <v>0.1712787356321839</v>
      </c>
      <c r="AX96" s="180">
        <f t="shared" si="138"/>
        <v>0.59604999999999997</v>
      </c>
      <c r="AY96" s="180">
        <f t="shared" si="139"/>
        <v>0.24032916666666665</v>
      </c>
      <c r="AZ96" s="180">
        <f t="shared" si="161"/>
        <v>2.4801400856464224</v>
      </c>
      <c r="BA96" s="473">
        <f t="shared" si="140"/>
        <v>0.95995370370370381</v>
      </c>
      <c r="BB96" s="5">
        <f t="shared" si="141"/>
        <v>7.1121584654191397E-2</v>
      </c>
      <c r="BC96" s="5"/>
      <c r="BD96" s="180">
        <f t="shared" si="162"/>
        <v>6.9292956993397881E-2</v>
      </c>
      <c r="BE96" s="180">
        <f t="shared" si="142"/>
        <v>0.30483975754120024</v>
      </c>
      <c r="BF96" s="180"/>
      <c r="BG96" s="547">
        <f t="shared" si="143"/>
        <v>1.6805298611111109E-3</v>
      </c>
      <c r="BH96" s="547">
        <f t="shared" si="144"/>
        <v>2.7728470219435739E-2</v>
      </c>
      <c r="BI96" s="547">
        <f t="shared" si="145"/>
        <v>3.2215436169062803E-3</v>
      </c>
      <c r="BJ96" s="547">
        <f t="shared" si="146"/>
        <v>2.039715830883148E-2</v>
      </c>
      <c r="BK96">
        <f t="shared" si="147"/>
        <v>6.96E-3</v>
      </c>
      <c r="BL96" s="473">
        <f t="shared" si="163"/>
        <v>59.987702006284607</v>
      </c>
      <c r="BM96" s="547">
        <f t="shared" si="148"/>
        <v>3.1850000000000003E-2</v>
      </c>
      <c r="BN96" s="547"/>
      <c r="BP96" s="473">
        <f t="shared" si="164"/>
        <v>31.850000000000005</v>
      </c>
      <c r="BQ96" s="547">
        <f t="shared" si="149"/>
        <v>5.281665277777777E-4</v>
      </c>
      <c r="BR96" s="547">
        <f t="shared" si="150"/>
        <v>3.2524547222222214E-3</v>
      </c>
      <c r="BS96" s="547">
        <f t="shared" si="151"/>
        <v>2.4146267401057068E-3</v>
      </c>
      <c r="BT96" s="547">
        <f t="shared" si="152"/>
        <v>2.1674545454545457E-2</v>
      </c>
      <c r="BU96" s="473">
        <f t="shared" si="165"/>
        <v>27.869793444651162</v>
      </c>
      <c r="BV96" s="180">
        <f t="shared" si="166"/>
        <v>0.11970749545093577</v>
      </c>
      <c r="BW96" s="5">
        <f t="shared" si="167"/>
        <v>0.57330000000000003</v>
      </c>
      <c r="BX96" s="180">
        <f t="shared" si="168"/>
        <v>0.82726377963193198</v>
      </c>
      <c r="BY96" s="5">
        <f t="shared" si="169"/>
        <v>82.726377963193201</v>
      </c>
      <c r="CB96" s="582">
        <f t="shared" si="153"/>
        <v>-50</v>
      </c>
      <c r="CC96">
        <f t="shared" si="154"/>
        <v>-50</v>
      </c>
    </row>
    <row r="97" spans="5:81" x14ac:dyDescent="0.25">
      <c r="E97" s="177">
        <v>92</v>
      </c>
      <c r="F97" s="224">
        <f t="shared" si="155"/>
        <v>9.2000000000000012E-2</v>
      </c>
      <c r="G97" s="224"/>
      <c r="H97" s="224">
        <f t="shared" si="109"/>
        <v>0.57960000000000012</v>
      </c>
      <c r="I97" s="560">
        <f t="shared" si="110"/>
        <v>24</v>
      </c>
      <c r="J97" s="179">
        <f t="shared" si="111"/>
        <v>13.1</v>
      </c>
      <c r="K97" s="455">
        <f t="shared" si="112"/>
        <v>37.1</v>
      </c>
      <c r="L97" s="455"/>
      <c r="M97" s="224">
        <f t="shared" si="113"/>
        <v>0.35309973045822102</v>
      </c>
      <c r="N97" s="179">
        <f t="shared" si="114"/>
        <v>5.5295417789757408</v>
      </c>
      <c r="O97" s="179">
        <f t="shared" si="156"/>
        <v>0.57960000000000012</v>
      </c>
      <c r="P97" s="224">
        <f t="shared" si="115"/>
        <v>0.87770504428186369</v>
      </c>
      <c r="Q97" s="224">
        <f t="shared" si="116"/>
        <v>6.3</v>
      </c>
      <c r="R97" s="224">
        <f t="shared" si="117"/>
        <v>0.97522782697984844</v>
      </c>
      <c r="S97" s="179">
        <f t="shared" si="118"/>
        <v>158.23632038284967</v>
      </c>
      <c r="T97" s="551">
        <f t="shared" si="119"/>
        <v>6.3</v>
      </c>
      <c r="U97" s="551">
        <f t="shared" si="120"/>
        <v>0.15198727735368958</v>
      </c>
      <c r="V97" s="224">
        <f t="shared" si="121"/>
        <v>0.34830417726887197</v>
      </c>
      <c r="W97" s="224">
        <f t="shared" si="122"/>
        <v>0.63811452324068152</v>
      </c>
      <c r="X97" s="204">
        <f t="shared" si="123"/>
        <v>350</v>
      </c>
      <c r="Y97" s="455">
        <f t="shared" si="157"/>
        <v>350</v>
      </c>
      <c r="AA97" s="224">
        <f t="shared" si="124"/>
        <v>0.44022823537648331</v>
      </c>
      <c r="AB97" s="180">
        <f t="shared" si="125"/>
        <v>1.8482864844050828</v>
      </c>
      <c r="AC97" s="180">
        <f t="shared" si="126"/>
        <v>0.28478376412494877</v>
      </c>
      <c r="AD97" s="180"/>
      <c r="AE97" s="180">
        <f t="shared" si="127"/>
        <v>1.217557251908397</v>
      </c>
      <c r="AF97" s="564">
        <f t="shared" si="170"/>
        <v>260.55561560912332</v>
      </c>
      <c r="AG97" s="547">
        <f t="shared" si="128"/>
        <v>0.1235820610687023</v>
      </c>
      <c r="AI97" s="180">
        <f t="shared" si="129"/>
        <v>0.26375028637750059</v>
      </c>
      <c r="AJ97" s="180">
        <f t="shared" si="130"/>
        <v>0.28999999999999998</v>
      </c>
      <c r="AK97" s="180">
        <f t="shared" si="131"/>
        <v>1.1488889232052133</v>
      </c>
      <c r="AM97" s="564">
        <f t="shared" si="132"/>
        <v>92.000000000000014</v>
      </c>
      <c r="AN97" s="473">
        <f t="shared" si="133"/>
        <v>260.55561560912332</v>
      </c>
      <c r="AP97">
        <f t="shared" si="134"/>
        <v>92.000000000000014</v>
      </c>
      <c r="AQ97">
        <f t="shared" si="135"/>
        <v>260.55561560912332</v>
      </c>
      <c r="AS97" s="5">
        <f t="shared" si="158"/>
        <v>3.837952207102556</v>
      </c>
      <c r="AT97" s="5">
        <f t="shared" si="136"/>
        <v>0.6645833333333333</v>
      </c>
      <c r="AU97" s="5">
        <f t="shared" si="159"/>
        <v>3.1733688737692227</v>
      </c>
      <c r="AV97" s="5">
        <f t="shared" si="137"/>
        <v>1.217557251908397</v>
      </c>
      <c r="AW97" s="180">
        <f t="shared" si="160"/>
        <v>0.17316091954022986</v>
      </c>
      <c r="AX97" s="180">
        <f t="shared" si="138"/>
        <v>0.60260000000000002</v>
      </c>
      <c r="AY97" s="180">
        <f t="shared" si="139"/>
        <v>0.23978333333333332</v>
      </c>
      <c r="AZ97" s="180">
        <f t="shared" si="161"/>
        <v>2.5131021060679783</v>
      </c>
      <c r="BA97" s="473">
        <f t="shared" si="140"/>
        <v>0.97050264550264553</v>
      </c>
      <c r="BB97" s="5">
        <f t="shared" si="141"/>
        <v>7.0960053982895122E-2</v>
      </c>
      <c r="BC97" s="5"/>
      <c r="BD97" s="180">
        <f t="shared" si="162"/>
        <v>6.9672647271205188E-2</v>
      </c>
      <c r="BE97" s="180">
        <f t="shared" si="142"/>
        <v>0.30449338617155913</v>
      </c>
      <c r="BF97" s="180"/>
      <c r="BG97" s="547">
        <f t="shared" si="143"/>
        <v>1.6989972222222216E-3</v>
      </c>
      <c r="BH97" s="547">
        <f t="shared" si="144"/>
        <v>2.8033178683385583E-2</v>
      </c>
      <c r="BI97" s="547">
        <f t="shared" si="145"/>
        <v>3.2569451951140415E-3</v>
      </c>
      <c r="BJ97" s="547">
        <f t="shared" si="146"/>
        <v>2.0621302905631821E-2</v>
      </c>
      <c r="BK97">
        <f t="shared" si="147"/>
        <v>6.96E-3</v>
      </c>
      <c r="BL97" s="473">
        <f t="shared" si="163"/>
        <v>60.570424006353669</v>
      </c>
      <c r="BM97" s="547">
        <f t="shared" si="148"/>
        <v>3.2199999999999999E-2</v>
      </c>
      <c r="BN97" s="547"/>
      <c r="BP97" s="473">
        <f t="shared" si="164"/>
        <v>32.200000000000003</v>
      </c>
      <c r="BQ97" s="547">
        <f t="shared" si="149"/>
        <v>5.3397055555555537E-4</v>
      </c>
      <c r="BR97" s="547">
        <f t="shared" si="150"/>
        <v>3.2450677777777787E-3</v>
      </c>
      <c r="BS97" s="547">
        <f t="shared" si="151"/>
        <v>2.4815103639610906E-3</v>
      </c>
      <c r="BT97" s="547">
        <f t="shared" si="152"/>
        <v>2.1912727272727275E-2</v>
      </c>
      <c r="BU97" s="473">
        <f t="shared" si="165"/>
        <v>28.173275970021699</v>
      </c>
      <c r="BV97" s="180">
        <f t="shared" si="166"/>
        <v>0.12094369997637536</v>
      </c>
      <c r="BW97" s="5">
        <f t="shared" si="167"/>
        <v>0.57960000000000012</v>
      </c>
      <c r="BX97" s="180">
        <f t="shared" si="168"/>
        <v>0.82735737973169421</v>
      </c>
      <c r="BY97" s="5">
        <f t="shared" si="169"/>
        <v>82.735737973169421</v>
      </c>
      <c r="CB97" s="582">
        <f t="shared" si="153"/>
        <v>-50</v>
      </c>
      <c r="CC97">
        <f t="shared" si="154"/>
        <v>-50</v>
      </c>
    </row>
    <row r="98" spans="5:81" x14ac:dyDescent="0.25">
      <c r="E98" s="177">
        <v>93</v>
      </c>
      <c r="F98" s="224">
        <f t="shared" si="155"/>
        <v>9.3000000000000013E-2</v>
      </c>
      <c r="G98" s="224"/>
      <c r="H98" s="224">
        <f t="shared" si="109"/>
        <v>0.58590000000000009</v>
      </c>
      <c r="I98" s="560">
        <f t="shared" si="110"/>
        <v>24</v>
      </c>
      <c r="J98" s="179">
        <f t="shared" si="111"/>
        <v>13.1</v>
      </c>
      <c r="K98" s="455">
        <f t="shared" si="112"/>
        <v>37.1</v>
      </c>
      <c r="L98" s="455"/>
      <c r="M98" s="224">
        <f t="shared" si="113"/>
        <v>0.35309973045822102</v>
      </c>
      <c r="N98" s="179">
        <f t="shared" si="114"/>
        <v>5.5295417789757408</v>
      </c>
      <c r="O98" s="179">
        <f t="shared" si="156"/>
        <v>0.58590000000000009</v>
      </c>
      <c r="P98" s="224">
        <f t="shared" si="115"/>
        <v>0.87770504428186369</v>
      </c>
      <c r="Q98" s="224">
        <f t="shared" si="116"/>
        <v>6.3</v>
      </c>
      <c r="R98" s="224">
        <f t="shared" si="117"/>
        <v>0.97522782697984844</v>
      </c>
      <c r="S98" s="179">
        <f t="shared" si="118"/>
        <v>156.40624698401763</v>
      </c>
      <c r="T98" s="551">
        <f t="shared" si="119"/>
        <v>6.3</v>
      </c>
      <c r="U98" s="551">
        <f t="shared" si="120"/>
        <v>0.15363931297709926</v>
      </c>
      <c r="V98" s="224">
        <f t="shared" si="121"/>
        <v>0.35209009223918586</v>
      </c>
      <c r="W98" s="224">
        <f t="shared" si="122"/>
        <v>0.64505055066721062</v>
      </c>
      <c r="X98" s="204">
        <f t="shared" si="123"/>
        <v>350</v>
      </c>
      <c r="Y98" s="455">
        <f t="shared" si="157"/>
        <v>350</v>
      </c>
      <c r="AA98" s="224">
        <f t="shared" si="124"/>
        <v>0.44022823537648331</v>
      </c>
      <c r="AB98" s="180">
        <f t="shared" si="125"/>
        <v>1.8482864844050828</v>
      </c>
      <c r="AC98" s="180">
        <f t="shared" si="126"/>
        <v>0.28478376412494877</v>
      </c>
      <c r="AD98" s="180"/>
      <c r="AE98" s="180">
        <f t="shared" si="127"/>
        <v>1.217557251908397</v>
      </c>
      <c r="AF98" s="564">
        <f t="shared" si="170"/>
        <v>263.38774186574426</v>
      </c>
      <c r="AG98" s="547">
        <f t="shared" si="128"/>
        <v>0.1235820610687023</v>
      </c>
      <c r="AI98" s="180">
        <f t="shared" si="129"/>
        <v>0.26517983769575382</v>
      </c>
      <c r="AJ98" s="180">
        <f t="shared" si="130"/>
        <v>0.28999999999999998</v>
      </c>
      <c r="AK98" s="180">
        <f t="shared" si="131"/>
        <v>1.1505072810661396</v>
      </c>
      <c r="AM98" s="564">
        <f t="shared" si="132"/>
        <v>93.000000000000014</v>
      </c>
      <c r="AN98" s="473">
        <f t="shared" si="133"/>
        <v>263.38774186574426</v>
      </c>
      <c r="AP98">
        <f t="shared" si="134"/>
        <v>93.000000000000014</v>
      </c>
      <c r="AQ98">
        <f t="shared" si="135"/>
        <v>263.38774186574426</v>
      </c>
      <c r="AS98" s="5">
        <f t="shared" si="158"/>
        <v>3.7966839038003775</v>
      </c>
      <c r="AT98" s="5">
        <f t="shared" si="136"/>
        <v>0.6645833333333333</v>
      </c>
      <c r="AU98" s="5">
        <f t="shared" si="159"/>
        <v>3.1321005704670442</v>
      </c>
      <c r="AV98" s="5">
        <f t="shared" si="137"/>
        <v>1.217557251908397</v>
      </c>
      <c r="AW98" s="180">
        <f t="shared" si="160"/>
        <v>0.17504310344827587</v>
      </c>
      <c r="AX98" s="180">
        <f t="shared" si="138"/>
        <v>0.60915000000000008</v>
      </c>
      <c r="AY98" s="180">
        <f t="shared" si="139"/>
        <v>0.23923749999999996</v>
      </c>
      <c r="AZ98" s="180">
        <f t="shared" si="161"/>
        <v>2.5462145357646699</v>
      </c>
      <c r="BA98" s="473">
        <f t="shared" si="140"/>
        <v>0.98105158730158748</v>
      </c>
      <c r="BB98" s="5">
        <f t="shared" si="141"/>
        <v>7.0798523311598818E-2</v>
      </c>
      <c r="BC98" s="5"/>
      <c r="BD98" s="180">
        <f t="shared" si="162"/>
        <v>7.0050279561659601E-2</v>
      </c>
      <c r="BE98" s="180">
        <f t="shared" si="142"/>
        <v>0.30414662034398254</v>
      </c>
      <c r="BF98" s="180"/>
      <c r="BG98" s="547">
        <f t="shared" si="143"/>
        <v>1.7174645833333325E-3</v>
      </c>
      <c r="BH98" s="547">
        <f t="shared" si="144"/>
        <v>2.8337887147335428E-2</v>
      </c>
      <c r="BI98" s="547">
        <f t="shared" si="145"/>
        <v>3.2923467733218031E-3</v>
      </c>
      <c r="BJ98" s="547">
        <f t="shared" si="146"/>
        <v>2.0845447502432172E-2</v>
      </c>
      <c r="BK98">
        <f t="shared" si="147"/>
        <v>6.96E-3</v>
      </c>
      <c r="BL98" s="473">
        <f t="shared" si="163"/>
        <v>61.153146006422737</v>
      </c>
      <c r="BM98" s="547">
        <f t="shared" si="148"/>
        <v>3.2550000000000003E-2</v>
      </c>
      <c r="BN98" s="547"/>
      <c r="BP98" s="473">
        <f t="shared" si="164"/>
        <v>32.550000000000004</v>
      </c>
      <c r="BQ98" s="547">
        <f t="shared" si="149"/>
        <v>5.3977458333333316E-4</v>
      </c>
      <c r="BR98" s="547">
        <f t="shared" si="150"/>
        <v>3.2376808333333331E-3</v>
      </c>
      <c r="BS98" s="547">
        <f t="shared" si="151"/>
        <v>2.5494934255479904E-3</v>
      </c>
      <c r="BT98" s="547">
        <f t="shared" si="152"/>
        <v>2.2150909090909096E-2</v>
      </c>
      <c r="BU98" s="473">
        <f t="shared" si="165"/>
        <v>28.477857933123754</v>
      </c>
      <c r="BV98" s="180">
        <f t="shared" si="166"/>
        <v>0.12218100393954649</v>
      </c>
      <c r="BW98" s="5">
        <f t="shared" si="167"/>
        <v>0.58590000000000009</v>
      </c>
      <c r="BX98" s="180">
        <f t="shared" si="168"/>
        <v>0.82744770265016487</v>
      </c>
      <c r="BY98" s="5">
        <f t="shared" si="169"/>
        <v>82.744770265016484</v>
      </c>
      <c r="CB98" s="582">
        <f t="shared" si="153"/>
        <v>-50</v>
      </c>
      <c r="CC98">
        <f t="shared" si="154"/>
        <v>-50</v>
      </c>
    </row>
    <row r="99" spans="5:81" x14ac:dyDescent="0.25">
      <c r="E99" s="177">
        <v>94</v>
      </c>
      <c r="F99" s="224">
        <f t="shared" si="155"/>
        <v>9.4E-2</v>
      </c>
      <c r="G99" s="224"/>
      <c r="H99" s="224">
        <f t="shared" si="109"/>
        <v>0.59219999999999995</v>
      </c>
      <c r="I99" s="560">
        <f t="shared" si="110"/>
        <v>24</v>
      </c>
      <c r="J99" s="179">
        <f t="shared" si="111"/>
        <v>13.1</v>
      </c>
      <c r="K99" s="455">
        <f t="shared" si="112"/>
        <v>37.1</v>
      </c>
      <c r="L99" s="455"/>
      <c r="M99" s="224">
        <f t="shared" si="113"/>
        <v>0.35309973045822102</v>
      </c>
      <c r="N99" s="179">
        <f t="shared" si="114"/>
        <v>5.5295417789757408</v>
      </c>
      <c r="O99" s="179">
        <f t="shared" si="156"/>
        <v>0.59219999999999995</v>
      </c>
      <c r="P99" s="224">
        <f t="shared" si="115"/>
        <v>0.87770504428186369</v>
      </c>
      <c r="Q99" s="224">
        <f t="shared" si="116"/>
        <v>6.3</v>
      </c>
      <c r="R99" s="224">
        <f t="shared" si="117"/>
        <v>0.97522782697984844</v>
      </c>
      <c r="S99" s="179">
        <f t="shared" si="118"/>
        <v>154.61511637713863</v>
      </c>
      <c r="T99" s="551">
        <f t="shared" si="119"/>
        <v>6.3</v>
      </c>
      <c r="U99" s="551">
        <f t="shared" si="120"/>
        <v>0.15529134860050889</v>
      </c>
      <c r="V99" s="224">
        <f t="shared" si="121"/>
        <v>0.35587600720949958</v>
      </c>
      <c r="W99" s="224">
        <f t="shared" si="122"/>
        <v>0.65198657809373972</v>
      </c>
      <c r="X99" s="204">
        <f t="shared" si="123"/>
        <v>350</v>
      </c>
      <c r="Y99" s="455">
        <f t="shared" si="157"/>
        <v>350</v>
      </c>
      <c r="AA99" s="224">
        <f t="shared" si="124"/>
        <v>0.44022823537648331</v>
      </c>
      <c r="AB99" s="180">
        <f t="shared" si="125"/>
        <v>1.8482864844050828</v>
      </c>
      <c r="AC99" s="180">
        <f t="shared" si="126"/>
        <v>0.28478376412494877</v>
      </c>
      <c r="AD99" s="180"/>
      <c r="AE99" s="180">
        <f t="shared" si="127"/>
        <v>1.217557251908397</v>
      </c>
      <c r="AF99" s="564">
        <f t="shared" si="170"/>
        <v>266.21986812236509</v>
      </c>
      <c r="AG99" s="547">
        <f t="shared" si="128"/>
        <v>0.1235820610687023</v>
      </c>
      <c r="AI99" s="180">
        <f t="shared" si="129"/>
        <v>0.26660172369375085</v>
      </c>
      <c r="AJ99" s="180">
        <f t="shared" si="130"/>
        <v>0.28999999999999998</v>
      </c>
      <c r="AK99" s="180">
        <f t="shared" si="131"/>
        <v>1.1521256389270658</v>
      </c>
      <c r="AM99" s="564">
        <f t="shared" si="132"/>
        <v>94</v>
      </c>
      <c r="AN99" s="473">
        <f t="shared" si="133"/>
        <v>266.21986812236509</v>
      </c>
      <c r="AP99">
        <f t="shared" si="134"/>
        <v>94</v>
      </c>
      <c r="AQ99">
        <f t="shared" si="135"/>
        <v>266.21986812236509</v>
      </c>
      <c r="AS99" s="5">
        <f t="shared" si="158"/>
        <v>3.7562936495046295</v>
      </c>
      <c r="AT99" s="5">
        <f t="shared" si="136"/>
        <v>0.6645833333333333</v>
      </c>
      <c r="AU99" s="5">
        <f t="shared" si="159"/>
        <v>3.0917103161712962</v>
      </c>
      <c r="AV99" s="5">
        <f t="shared" si="137"/>
        <v>1.217557251908397</v>
      </c>
      <c r="AW99" s="180">
        <f t="shared" si="160"/>
        <v>0.17692528735632179</v>
      </c>
      <c r="AX99" s="180">
        <f t="shared" si="138"/>
        <v>0.6156999999999998</v>
      </c>
      <c r="AY99" s="180">
        <f t="shared" si="139"/>
        <v>0.23869166666666664</v>
      </c>
      <c r="AZ99" s="180">
        <f t="shared" si="161"/>
        <v>2.579478406591488</v>
      </c>
      <c r="BA99" s="473">
        <f t="shared" si="140"/>
        <v>0.99160052910052909</v>
      </c>
      <c r="BB99" s="5">
        <f t="shared" si="141"/>
        <v>7.0636992640302515E-2</v>
      </c>
      <c r="BC99" s="5"/>
      <c r="BD99" s="180">
        <f t="shared" si="162"/>
        <v>7.042588697031478E-2</v>
      </c>
      <c r="BE99" s="180">
        <f t="shared" si="142"/>
        <v>0.30379945870773228</v>
      </c>
      <c r="BF99" s="180"/>
      <c r="BG99" s="547">
        <f t="shared" si="143"/>
        <v>1.7359319444444435E-3</v>
      </c>
      <c r="BH99" s="547">
        <f t="shared" si="144"/>
        <v>2.8642595611285262E-2</v>
      </c>
      <c r="BI99" s="547">
        <f t="shared" si="145"/>
        <v>3.3277483515295634E-3</v>
      </c>
      <c r="BJ99" s="547">
        <f t="shared" si="146"/>
        <v>2.1069592099232513E-2</v>
      </c>
      <c r="BK99">
        <f t="shared" si="147"/>
        <v>6.96E-3</v>
      </c>
      <c r="BL99" s="473">
        <f t="shared" si="163"/>
        <v>61.735868006491785</v>
      </c>
      <c r="BM99" s="547">
        <f t="shared" si="148"/>
        <v>3.2899999999999999E-2</v>
      </c>
      <c r="BN99" s="547"/>
      <c r="BP99" s="473">
        <f t="shared" si="164"/>
        <v>32.9</v>
      </c>
      <c r="BQ99" s="547">
        <f t="shared" si="149"/>
        <v>5.4557861111111084E-4</v>
      </c>
      <c r="BR99" s="547">
        <f t="shared" si="150"/>
        <v>3.23029388888889E-3</v>
      </c>
      <c r="BS99" s="547">
        <f t="shared" si="151"/>
        <v>2.6185818839803369E-3</v>
      </c>
      <c r="BT99" s="547">
        <f t="shared" si="152"/>
        <v>2.2389090909090907E-2</v>
      </c>
      <c r="BU99" s="473">
        <f t="shared" si="165"/>
        <v>28.783545293071246</v>
      </c>
      <c r="BV99" s="180">
        <f t="shared" si="166"/>
        <v>0.12341941329956305</v>
      </c>
      <c r="BW99" s="5">
        <f t="shared" si="167"/>
        <v>0.59219999999999995</v>
      </c>
      <c r="BX99" s="180">
        <f t="shared" si="168"/>
        <v>0.82753484463130556</v>
      </c>
      <c r="BY99" s="5">
        <f t="shared" si="169"/>
        <v>82.753484463130562</v>
      </c>
      <c r="CB99" s="582">
        <f t="shared" si="153"/>
        <v>-50</v>
      </c>
      <c r="CC99">
        <f t="shared" si="154"/>
        <v>-50</v>
      </c>
    </row>
    <row r="100" spans="5:81" x14ac:dyDescent="0.25">
      <c r="E100" s="177">
        <v>95</v>
      </c>
      <c r="F100" s="224">
        <f t="shared" si="155"/>
        <v>9.5000000000000001E-2</v>
      </c>
      <c r="G100" s="224"/>
      <c r="H100" s="224">
        <f t="shared" si="109"/>
        <v>0.59850000000000003</v>
      </c>
      <c r="I100" s="560">
        <f t="shared" si="110"/>
        <v>24</v>
      </c>
      <c r="J100" s="179">
        <f t="shared" si="111"/>
        <v>13.1</v>
      </c>
      <c r="K100" s="455">
        <f t="shared" si="112"/>
        <v>37.1</v>
      </c>
      <c r="L100" s="455"/>
      <c r="M100" s="224">
        <f t="shared" si="113"/>
        <v>0.35309973045822102</v>
      </c>
      <c r="N100" s="179">
        <f t="shared" si="114"/>
        <v>5.5295417789757408</v>
      </c>
      <c r="O100" s="179">
        <f t="shared" si="156"/>
        <v>0.59850000000000003</v>
      </c>
      <c r="P100" s="224">
        <f t="shared" si="115"/>
        <v>0.87770504428186369</v>
      </c>
      <c r="Q100" s="224">
        <f t="shared" si="116"/>
        <v>6.3</v>
      </c>
      <c r="R100" s="224">
        <f t="shared" si="117"/>
        <v>0.97522782697984844</v>
      </c>
      <c r="S100" s="179">
        <f t="shared" si="118"/>
        <v>152.8616988018847</v>
      </c>
      <c r="T100" s="551">
        <f t="shared" si="119"/>
        <v>6.3</v>
      </c>
      <c r="U100" s="551">
        <f t="shared" si="120"/>
        <v>0.15694338422391857</v>
      </c>
      <c r="V100" s="224">
        <f t="shared" si="121"/>
        <v>0.35966192217981335</v>
      </c>
      <c r="W100" s="224">
        <f t="shared" si="122"/>
        <v>0.65892260552026882</v>
      </c>
      <c r="X100" s="204">
        <f t="shared" si="123"/>
        <v>350</v>
      </c>
      <c r="Y100" s="455">
        <f t="shared" si="157"/>
        <v>350</v>
      </c>
      <c r="AA100" s="224">
        <f t="shared" si="124"/>
        <v>0.44022823537648331</v>
      </c>
      <c r="AB100" s="180">
        <f t="shared" si="125"/>
        <v>1.8482864844050828</v>
      </c>
      <c r="AC100" s="180">
        <f t="shared" si="126"/>
        <v>0.28478376412494877</v>
      </c>
      <c r="AD100" s="180"/>
      <c r="AE100" s="180">
        <f t="shared" si="127"/>
        <v>1.217557251908397</v>
      </c>
      <c r="AF100" s="564">
        <f t="shared" si="170"/>
        <v>269.05199437898602</v>
      </c>
      <c r="AG100" s="547">
        <f t="shared" si="128"/>
        <v>0.1235820610687023</v>
      </c>
      <c r="AI100" s="180">
        <f t="shared" si="129"/>
        <v>0.26801606637030517</v>
      </c>
      <c r="AJ100" s="180">
        <f t="shared" si="130"/>
        <v>0.28999999999999998</v>
      </c>
      <c r="AK100" s="180">
        <f t="shared" si="131"/>
        <v>1.1537439967879921</v>
      </c>
      <c r="AM100" s="564">
        <f t="shared" si="132"/>
        <v>95</v>
      </c>
      <c r="AN100" s="473">
        <f t="shared" si="133"/>
        <v>269.05199437898602</v>
      </c>
      <c r="AP100">
        <f t="shared" si="134"/>
        <v>95</v>
      </c>
      <c r="AQ100">
        <f t="shared" si="135"/>
        <v>269.05199437898602</v>
      </c>
      <c r="AS100" s="5">
        <f t="shared" si="158"/>
        <v>3.7167537163519486</v>
      </c>
      <c r="AT100" s="5">
        <f t="shared" si="136"/>
        <v>0.6645833333333333</v>
      </c>
      <c r="AU100" s="5">
        <f t="shared" si="159"/>
        <v>3.0521703830186153</v>
      </c>
      <c r="AV100" s="5">
        <f t="shared" si="137"/>
        <v>1.217557251908397</v>
      </c>
      <c r="AW100" s="180">
        <f t="shared" si="160"/>
        <v>0.1788074712643678</v>
      </c>
      <c r="AX100" s="180">
        <f t="shared" si="138"/>
        <v>0.62224999999999997</v>
      </c>
      <c r="AY100" s="180">
        <f t="shared" si="139"/>
        <v>0.23814583333333333</v>
      </c>
      <c r="AZ100" s="180">
        <f t="shared" si="161"/>
        <v>2.6128947598635288</v>
      </c>
      <c r="BA100" s="473">
        <f t="shared" si="140"/>
        <v>1.0021494708994707</v>
      </c>
      <c r="BB100" s="5">
        <f t="shared" si="141"/>
        <v>7.0475461969006212E-2</v>
      </c>
      <c r="BC100" s="5"/>
      <c r="BD100" s="180">
        <f t="shared" si="162"/>
        <v>7.0799501724549185E-2</v>
      </c>
      <c r="BE100" s="180">
        <f t="shared" si="142"/>
        <v>0.30345189990434324</v>
      </c>
      <c r="BF100" s="180"/>
      <c r="BG100" s="547">
        <f t="shared" si="143"/>
        <v>1.7543993055555548E-3</v>
      </c>
      <c r="BH100" s="547">
        <f t="shared" si="144"/>
        <v>2.8947304075235106E-2</v>
      </c>
      <c r="BI100" s="547">
        <f t="shared" si="145"/>
        <v>3.3631499297373251E-3</v>
      </c>
      <c r="BJ100" s="547">
        <f t="shared" si="146"/>
        <v>2.129373669603286E-2</v>
      </c>
      <c r="BK100">
        <f t="shared" si="147"/>
        <v>6.96E-3</v>
      </c>
      <c r="BL100" s="473">
        <f t="shared" si="163"/>
        <v>62.318590006560846</v>
      </c>
      <c r="BM100" s="547">
        <f t="shared" si="148"/>
        <v>3.3249999999999995E-2</v>
      </c>
      <c r="BN100" s="547"/>
      <c r="BP100" s="473">
        <f t="shared" si="164"/>
        <v>33.249999999999993</v>
      </c>
      <c r="BQ100" s="547">
        <f t="shared" si="149"/>
        <v>5.5138263888888873E-4</v>
      </c>
      <c r="BR100" s="547">
        <f t="shared" si="150"/>
        <v>3.2229069444444443E-3</v>
      </c>
      <c r="BS100" s="547">
        <f t="shared" si="151"/>
        <v>2.6887816664181176E-3</v>
      </c>
      <c r="BT100" s="547">
        <f t="shared" si="152"/>
        <v>2.2627272727272729E-2</v>
      </c>
      <c r="BU100" s="473">
        <f t="shared" si="165"/>
        <v>29.090343977024183</v>
      </c>
      <c r="BV100" s="180">
        <f t="shared" si="166"/>
        <v>0.12465893398358503</v>
      </c>
      <c r="BW100" s="5">
        <f t="shared" si="167"/>
        <v>0.59850000000000003</v>
      </c>
      <c r="BX100" s="180">
        <f t="shared" si="168"/>
        <v>0.82761889796909471</v>
      </c>
      <c r="BY100" s="5">
        <f t="shared" si="169"/>
        <v>82.761889796909472</v>
      </c>
      <c r="CB100" s="582">
        <f t="shared" si="153"/>
        <v>-50</v>
      </c>
      <c r="CC100">
        <f t="shared" si="154"/>
        <v>-50</v>
      </c>
    </row>
    <row r="101" spans="5:81" x14ac:dyDescent="0.25">
      <c r="E101" s="177">
        <v>96</v>
      </c>
      <c r="F101" s="224">
        <f t="shared" si="155"/>
        <v>9.6000000000000002E-2</v>
      </c>
      <c r="G101" s="224"/>
      <c r="H101" s="224">
        <f t="shared" ref="H101:H105" si="171">F101*Vout</f>
        <v>0.6048</v>
      </c>
      <c r="I101" s="560">
        <f t="shared" si="110"/>
        <v>24</v>
      </c>
      <c r="J101" s="179">
        <f t="shared" si="111"/>
        <v>13.1</v>
      </c>
      <c r="K101" s="455">
        <f t="shared" si="112"/>
        <v>37.1</v>
      </c>
      <c r="L101" s="455"/>
      <c r="M101" s="224">
        <f t="shared" si="113"/>
        <v>0.35309973045822102</v>
      </c>
      <c r="N101" s="179">
        <f t="shared" si="114"/>
        <v>5.5295417789757408</v>
      </c>
      <c r="O101" s="179">
        <f t="shared" si="156"/>
        <v>0.6048</v>
      </c>
      <c r="P101" s="224">
        <f t="shared" ref="P101:P105" si="172">N101/Vout</f>
        <v>0.87770504428186369</v>
      </c>
      <c r="Q101" s="224">
        <f t="shared" si="116"/>
        <v>6.3</v>
      </c>
      <c r="R101" s="224">
        <f t="shared" ref="R101:R105" si="173">Isw_max/2*I101*Nps*(Q101+Vfwd1)/Q101/(I101+Nps*(Q101+Vfwd1))</f>
        <v>0.97522782697984844</v>
      </c>
      <c r="S101" s="179">
        <f t="shared" si="118"/>
        <v>151.14481573797872</v>
      </c>
      <c r="T101" s="551">
        <f t="shared" ref="T101:T105" si="174">MIN(Vout, S101)</f>
        <v>6.3</v>
      </c>
      <c r="U101" s="551">
        <f t="shared" si="120"/>
        <v>0.15859541984732825</v>
      </c>
      <c r="V101" s="224">
        <f t="shared" ref="V101:V105" si="175">L*U101/I101*1000000</f>
        <v>0.36344783715012724</v>
      </c>
      <c r="W101" s="224">
        <f t="shared" si="122"/>
        <v>0.66585863294679803</v>
      </c>
      <c r="X101" s="204">
        <f t="shared" si="123"/>
        <v>350</v>
      </c>
      <c r="Y101" s="455">
        <f t="shared" si="157"/>
        <v>350</v>
      </c>
      <c r="AA101" s="224">
        <f t="shared" si="124"/>
        <v>0.44022823537648331</v>
      </c>
      <c r="AB101" s="180">
        <f t="shared" ref="AB101:AB105" si="176">L*AA101/J101*1000000</f>
        <v>1.8482864844050828</v>
      </c>
      <c r="AC101" s="180">
        <f t="shared" ref="AC101:AC105" si="177">0.5*AB101*AA101*Nps*X101/1000</f>
        <v>0.28478376412494877</v>
      </c>
      <c r="AD101" s="180"/>
      <c r="AE101" s="180">
        <f t="shared" si="127"/>
        <v>1.217557251908397</v>
      </c>
      <c r="AF101" s="564">
        <f t="shared" si="170"/>
        <v>271.88412063560691</v>
      </c>
      <c r="AG101" s="547">
        <f t="shared" si="128"/>
        <v>0.1235820610687023</v>
      </c>
      <c r="AI101" s="180">
        <f t="shared" si="129"/>
        <v>0.26942298452200508</v>
      </c>
      <c r="AJ101" s="180">
        <f t="shared" ref="AJ101:AJ105" si="178">MAX(IF(F101&gt;AC101,U101,AI101),Isw_min)</f>
        <v>0.28999999999999998</v>
      </c>
      <c r="AK101" s="180">
        <f t="shared" ref="AK101:AK105" si="179">IF(F101&gt;AG101, (AJ101-Isw_min)/1.08*0.8+1.2, AF101*0.2/350+1)</f>
        <v>1.1553623546489182</v>
      </c>
      <c r="AM101" s="564">
        <f t="shared" si="132"/>
        <v>96</v>
      </c>
      <c r="AN101" s="473">
        <f t="shared" si="133"/>
        <v>271.88412063560691</v>
      </c>
      <c r="AP101">
        <f t="shared" si="134"/>
        <v>96</v>
      </c>
      <c r="AQ101">
        <f t="shared" si="135"/>
        <v>271.88412063560691</v>
      </c>
      <c r="AS101" s="5">
        <f t="shared" si="158"/>
        <v>3.6780375318066163</v>
      </c>
      <c r="AT101" s="5">
        <f t="shared" si="136"/>
        <v>0.6645833333333333</v>
      </c>
      <c r="AU101" s="5">
        <f t="shared" si="159"/>
        <v>3.013454198473283</v>
      </c>
      <c r="AV101" s="5">
        <f t="shared" si="137"/>
        <v>1.217557251908397</v>
      </c>
      <c r="AW101" s="180">
        <f t="shared" si="160"/>
        <v>0.18068965517241375</v>
      </c>
      <c r="AX101" s="180">
        <f t="shared" si="138"/>
        <v>0.62879999999999991</v>
      </c>
      <c r="AY101" s="180">
        <f t="shared" si="139"/>
        <v>0.23760000000000001</v>
      </c>
      <c r="AZ101" s="180">
        <f t="shared" si="161"/>
        <v>2.6464646464646462</v>
      </c>
      <c r="BA101" s="473">
        <f t="shared" si="140"/>
        <v>1.0126984126984127</v>
      </c>
      <c r="BB101" s="5">
        <f t="shared" si="141"/>
        <v>7.0313931297709936E-2</v>
      </c>
      <c r="BC101" s="5"/>
      <c r="BD101" s="180">
        <f t="shared" si="162"/>
        <v>7.1171155205836945E-2</v>
      </c>
      <c r="BE101" s="180">
        <f t="shared" si="142"/>
        <v>0.30310394256756212</v>
      </c>
      <c r="BF101" s="180"/>
      <c r="BG101" s="547">
        <f t="shared" si="143"/>
        <v>1.7728666666666658E-3</v>
      </c>
      <c r="BH101" s="547">
        <f t="shared" si="144"/>
        <v>2.9252012539184948E-2</v>
      </c>
      <c r="BI101" s="547">
        <f t="shared" si="145"/>
        <v>3.3985515079450863E-3</v>
      </c>
      <c r="BJ101" s="547">
        <f t="shared" si="146"/>
        <v>2.1517881292833201E-2</v>
      </c>
      <c r="BK101">
        <f t="shared" si="147"/>
        <v>6.96E-3</v>
      </c>
      <c r="BL101" s="473">
        <f t="shared" si="163"/>
        <v>62.901312006629894</v>
      </c>
      <c r="BM101" s="547">
        <f t="shared" si="148"/>
        <v>3.3599999999999998E-2</v>
      </c>
      <c r="BN101" s="547"/>
      <c r="BP101" s="473">
        <f t="shared" si="164"/>
        <v>33.6</v>
      </c>
      <c r="BQ101" s="547">
        <f t="shared" si="149"/>
        <v>5.5718666666666641E-4</v>
      </c>
      <c r="BR101" s="547">
        <f t="shared" si="150"/>
        <v>3.2155200000000004E-3</v>
      </c>
      <c r="BS101" s="547">
        <f t="shared" si="151"/>
        <v>2.7600986685759254E-3</v>
      </c>
      <c r="BT101" s="547">
        <f t="shared" si="152"/>
        <v>2.286545454545454E-2</v>
      </c>
      <c r="BU101" s="473">
        <f t="shared" si="165"/>
        <v>29.398259880697132</v>
      </c>
      <c r="BV101" s="180">
        <f t="shared" si="166"/>
        <v>0.12589957188732703</v>
      </c>
      <c r="BW101" s="5">
        <f t="shared" si="167"/>
        <v>0.6048</v>
      </c>
      <c r="BX101" s="180">
        <f t="shared" si="168"/>
        <v>0.82769995120957784</v>
      </c>
      <c r="BY101" s="5">
        <f t="shared" si="169"/>
        <v>82.769995120957788</v>
      </c>
      <c r="CB101" s="582">
        <f t="shared" si="153"/>
        <v>-50</v>
      </c>
      <c r="CC101">
        <f t="shared" si="154"/>
        <v>-50</v>
      </c>
    </row>
    <row r="102" spans="5:81" x14ac:dyDescent="0.25">
      <c r="E102" s="177">
        <v>97</v>
      </c>
      <c r="F102" s="224">
        <f t="shared" ref="F102:F105" si="180">IF(PLOT_TYPE=1, E102/100*Iout_max, min_I*EXP(N102*rr/100))</f>
        <v>9.7000000000000003E-2</v>
      </c>
      <c r="G102" s="224"/>
      <c r="H102" s="224">
        <f t="shared" si="171"/>
        <v>0.61109999999999998</v>
      </c>
      <c r="I102" s="560">
        <f t="shared" si="110"/>
        <v>24</v>
      </c>
      <c r="J102" s="179">
        <f t="shared" si="111"/>
        <v>13.1</v>
      </c>
      <c r="K102" s="455">
        <f t="shared" si="112"/>
        <v>37.1</v>
      </c>
      <c r="L102" s="455"/>
      <c r="M102" s="224">
        <f t="shared" si="113"/>
        <v>0.35309973045822102</v>
      </c>
      <c r="N102" s="179">
        <f t="shared" si="114"/>
        <v>5.5295417789757408</v>
      </c>
      <c r="O102" s="179">
        <f t="shared" si="156"/>
        <v>0.61109999999999998</v>
      </c>
      <c r="P102" s="224">
        <f t="shared" si="172"/>
        <v>0.87770504428186369</v>
      </c>
      <c r="Q102" s="224">
        <f t="shared" si="116"/>
        <v>6.3</v>
      </c>
      <c r="R102" s="224">
        <f t="shared" si="173"/>
        <v>0.97522782697984844</v>
      </c>
      <c r="S102" s="179">
        <f t="shared" si="118"/>
        <v>149.46333726395508</v>
      </c>
      <c r="T102" s="551">
        <f t="shared" si="174"/>
        <v>6.3</v>
      </c>
      <c r="U102" s="551">
        <f t="shared" si="120"/>
        <v>0.1602474554707379</v>
      </c>
      <c r="V102" s="224">
        <f t="shared" si="175"/>
        <v>0.36723375212044101</v>
      </c>
      <c r="W102" s="224">
        <f t="shared" si="122"/>
        <v>0.67279466037332714</v>
      </c>
      <c r="X102" s="204">
        <f t="shared" si="123"/>
        <v>350</v>
      </c>
      <c r="Y102" s="455">
        <f t="shared" si="157"/>
        <v>350</v>
      </c>
      <c r="AA102" s="224">
        <f t="shared" si="124"/>
        <v>0.44022823537648331</v>
      </c>
      <c r="AB102" s="180">
        <f t="shared" si="176"/>
        <v>1.8482864844050828</v>
      </c>
      <c r="AC102" s="180">
        <f t="shared" si="177"/>
        <v>0.28478376412494877</v>
      </c>
      <c r="AD102" s="180"/>
      <c r="AE102" s="180">
        <f t="shared" si="127"/>
        <v>1.217557251908397</v>
      </c>
      <c r="AF102" s="564">
        <f t="shared" si="170"/>
        <v>274.71624689222784</v>
      </c>
      <c r="AG102" s="547">
        <f t="shared" si="128"/>
        <v>0.1235820610687023</v>
      </c>
      <c r="AI102" s="180">
        <f t="shared" si="129"/>
        <v>0.27082259385966551</v>
      </c>
      <c r="AJ102" s="180">
        <f t="shared" si="178"/>
        <v>0.28999999999999998</v>
      </c>
      <c r="AK102" s="180">
        <f t="shared" si="179"/>
        <v>1.1569807125098446</v>
      </c>
      <c r="AM102" s="564">
        <f t="shared" si="132"/>
        <v>97</v>
      </c>
      <c r="AN102" s="473">
        <f t="shared" si="133"/>
        <v>274.71624689222784</v>
      </c>
      <c r="AP102">
        <f t="shared" si="134"/>
        <v>97</v>
      </c>
      <c r="AQ102">
        <f t="shared" si="135"/>
        <v>274.71624689222784</v>
      </c>
      <c r="AS102" s="5">
        <f t="shared" si="158"/>
        <v>3.6401196191075789</v>
      </c>
      <c r="AT102" s="5">
        <f t="shared" si="136"/>
        <v>0.6645833333333333</v>
      </c>
      <c r="AU102" s="5">
        <f t="shared" si="159"/>
        <v>2.9755362857742456</v>
      </c>
      <c r="AV102" s="5">
        <f t="shared" si="137"/>
        <v>1.217557251908397</v>
      </c>
      <c r="AW102" s="180">
        <f t="shared" si="160"/>
        <v>0.18257183908045974</v>
      </c>
      <c r="AX102" s="180">
        <f t="shared" si="138"/>
        <v>0.63534999999999986</v>
      </c>
      <c r="AY102" s="180">
        <f t="shared" si="139"/>
        <v>0.23705416666666668</v>
      </c>
      <c r="AZ102" s="180">
        <f t="shared" si="161"/>
        <v>2.6801891269576217</v>
      </c>
      <c r="BA102" s="473">
        <f t="shared" si="140"/>
        <v>1.0232473544973546</v>
      </c>
      <c r="BB102" s="5">
        <f t="shared" si="141"/>
        <v>7.0152400626413619E-2</v>
      </c>
      <c r="BC102" s="5"/>
      <c r="BD102" s="180">
        <f t="shared" si="162"/>
        <v>7.1540877980509995E-2</v>
      </c>
      <c r="BE102" s="180">
        <f t="shared" si="142"/>
        <v>0.30275558532328423</v>
      </c>
      <c r="BF102" s="180"/>
      <c r="BG102" s="547">
        <f t="shared" si="143"/>
        <v>1.7913340277777769E-3</v>
      </c>
      <c r="BH102" s="547">
        <f t="shared" si="144"/>
        <v>2.9556721003134796E-2</v>
      </c>
      <c r="BI102" s="547">
        <f t="shared" si="145"/>
        <v>3.4339530861528479E-3</v>
      </c>
      <c r="BJ102" s="547">
        <f t="shared" si="146"/>
        <v>2.1742025889633552E-2</v>
      </c>
      <c r="BK102">
        <f t="shared" si="147"/>
        <v>6.96E-3</v>
      </c>
      <c r="BL102" s="473">
        <f t="shared" si="163"/>
        <v>63.48403400669897</v>
      </c>
      <c r="BM102" s="547">
        <f t="shared" si="148"/>
        <v>3.3950000000000001E-2</v>
      </c>
      <c r="BN102" s="547"/>
      <c r="BP102" s="473">
        <f t="shared" si="164"/>
        <v>33.950000000000003</v>
      </c>
      <c r="BQ102" s="547">
        <f t="shared" si="149"/>
        <v>5.629906944444442E-4</v>
      </c>
      <c r="BR102" s="547">
        <f t="shared" si="150"/>
        <v>3.2081330555555555E-3</v>
      </c>
      <c r="BS102" s="547">
        <f t="shared" si="151"/>
        <v>2.8325387552182394E-3</v>
      </c>
      <c r="BT102" s="547">
        <f t="shared" si="152"/>
        <v>2.3103636363636361E-2</v>
      </c>
      <c r="BU102" s="473">
        <f t="shared" si="165"/>
        <v>29.7072988688546</v>
      </c>
      <c r="BV102" s="180">
        <f t="shared" si="166"/>
        <v>0.1271413328755536</v>
      </c>
      <c r="BW102" s="5">
        <f t="shared" si="167"/>
        <v>0.61109999999999998</v>
      </c>
      <c r="BX102" s="180">
        <f t="shared" si="168"/>
        <v>0.82777808934062214</v>
      </c>
      <c r="BY102" s="5">
        <f t="shared" si="169"/>
        <v>82.777808934062207</v>
      </c>
      <c r="CB102" s="582">
        <f t="shared" si="153"/>
        <v>-50</v>
      </c>
      <c r="CC102">
        <f t="shared" si="154"/>
        <v>-50</v>
      </c>
    </row>
    <row r="103" spans="5:81" x14ac:dyDescent="0.25">
      <c r="E103" s="177">
        <v>98</v>
      </c>
      <c r="F103" s="224">
        <f t="shared" si="180"/>
        <v>9.8000000000000004E-2</v>
      </c>
      <c r="G103" s="224"/>
      <c r="H103" s="224">
        <f t="shared" si="171"/>
        <v>0.61740000000000006</v>
      </c>
      <c r="I103" s="560">
        <f t="shared" si="110"/>
        <v>24</v>
      </c>
      <c r="J103" s="179">
        <f t="shared" si="111"/>
        <v>13.1</v>
      </c>
      <c r="K103" s="455">
        <f t="shared" si="112"/>
        <v>37.1</v>
      </c>
      <c r="L103" s="455"/>
      <c r="M103" s="224">
        <f t="shared" si="113"/>
        <v>0.35309973045822102</v>
      </c>
      <c r="N103" s="179">
        <f t="shared" si="114"/>
        <v>5.5295417789757408</v>
      </c>
      <c r="O103" s="179">
        <f t="shared" si="156"/>
        <v>0.61740000000000006</v>
      </c>
      <c r="P103" s="224">
        <f t="shared" si="172"/>
        <v>0.87770504428186369</v>
      </c>
      <c r="Q103" s="224">
        <f t="shared" si="116"/>
        <v>6.3</v>
      </c>
      <c r="R103" s="224">
        <f t="shared" si="173"/>
        <v>0.97522782697984844</v>
      </c>
      <c r="S103" s="179">
        <f t="shared" si="118"/>
        <v>147.81617957762842</v>
      </c>
      <c r="T103" s="551">
        <f t="shared" si="174"/>
        <v>6.3</v>
      </c>
      <c r="U103" s="551">
        <f t="shared" si="120"/>
        <v>0.16189949109414759</v>
      </c>
      <c r="V103" s="224">
        <f t="shared" si="175"/>
        <v>0.3710196670907549</v>
      </c>
      <c r="W103" s="224">
        <f t="shared" si="122"/>
        <v>0.67973068779985635</v>
      </c>
      <c r="X103" s="204">
        <f t="shared" si="123"/>
        <v>350</v>
      </c>
      <c r="Y103" s="455">
        <f t="shared" si="157"/>
        <v>350</v>
      </c>
      <c r="AA103" s="224">
        <f t="shared" si="124"/>
        <v>0.44022823537648331</v>
      </c>
      <c r="AB103" s="180">
        <f t="shared" si="176"/>
        <v>1.8482864844050828</v>
      </c>
      <c r="AC103" s="180">
        <f t="shared" si="177"/>
        <v>0.28478376412494877</v>
      </c>
      <c r="AD103" s="180"/>
      <c r="AE103" s="180">
        <f t="shared" si="127"/>
        <v>1.217557251908397</v>
      </c>
      <c r="AF103" s="564">
        <f t="shared" si="170"/>
        <v>277.54837314884878</v>
      </c>
      <c r="AG103" s="547">
        <f t="shared" si="128"/>
        <v>0.1235820610687023</v>
      </c>
      <c r="AI103" s="180">
        <f t="shared" si="129"/>
        <v>0.27221500711939101</v>
      </c>
      <c r="AJ103" s="180">
        <f t="shared" si="178"/>
        <v>0.28999999999999998</v>
      </c>
      <c r="AK103" s="180">
        <f t="shared" si="179"/>
        <v>1.1585990703707707</v>
      </c>
      <c r="AM103" s="564">
        <f t="shared" si="132"/>
        <v>98</v>
      </c>
      <c r="AN103" s="473">
        <f t="shared" si="133"/>
        <v>277.54837314884878</v>
      </c>
      <c r="AP103">
        <f t="shared" si="134"/>
        <v>98</v>
      </c>
      <c r="AQ103">
        <f t="shared" si="135"/>
        <v>277.54837314884878</v>
      </c>
      <c r="AS103" s="5">
        <f t="shared" si="158"/>
        <v>3.6029755413615829</v>
      </c>
      <c r="AT103" s="5">
        <f t="shared" si="136"/>
        <v>0.6645833333333333</v>
      </c>
      <c r="AU103" s="5">
        <f t="shared" si="159"/>
        <v>2.9383922080282496</v>
      </c>
      <c r="AV103" s="5">
        <f t="shared" si="137"/>
        <v>1.217557251908397</v>
      </c>
      <c r="AW103" s="180">
        <f t="shared" si="160"/>
        <v>0.18445402298850574</v>
      </c>
      <c r="AX103" s="180">
        <f t="shared" si="138"/>
        <v>0.64190000000000003</v>
      </c>
      <c r="AY103" s="180">
        <f t="shared" si="139"/>
        <v>0.23650833333333332</v>
      </c>
      <c r="AZ103" s="180">
        <f t="shared" si="161"/>
        <v>2.7140692716958532</v>
      </c>
      <c r="BA103" s="473">
        <f t="shared" si="140"/>
        <v>1.0337962962962963</v>
      </c>
      <c r="BB103" s="5">
        <f t="shared" si="141"/>
        <v>6.999086995511733E-2</v>
      </c>
      <c r="BC103" s="5"/>
      <c r="BD103" s="180">
        <f t="shared" si="162"/>
        <v>7.1908699829096548E-2</v>
      </c>
      <c r="BE103" s="180">
        <f t="shared" si="142"/>
        <v>0.30240682678949043</v>
      </c>
      <c r="BF103" s="180"/>
      <c r="BG103" s="547">
        <f t="shared" si="143"/>
        <v>1.8098013888888883E-3</v>
      </c>
      <c r="BH103" s="547">
        <f t="shared" si="144"/>
        <v>2.986142946708464E-2</v>
      </c>
      <c r="BI103" s="547">
        <f t="shared" si="145"/>
        <v>3.4693546643606095E-3</v>
      </c>
      <c r="BJ103" s="547">
        <f t="shared" si="146"/>
        <v>2.1966170486433904E-2</v>
      </c>
      <c r="BK103">
        <f t="shared" si="147"/>
        <v>6.96E-3</v>
      </c>
      <c r="BL103" s="473">
        <f t="shared" si="163"/>
        <v>64.066756006768031</v>
      </c>
      <c r="BM103" s="547">
        <f t="shared" si="148"/>
        <v>3.4299999999999997E-2</v>
      </c>
      <c r="BN103" s="547"/>
      <c r="BP103" s="473">
        <f t="shared" si="164"/>
        <v>34.299999999999997</v>
      </c>
      <c r="BQ103" s="547">
        <f t="shared" si="149"/>
        <v>5.6879472222222209E-4</v>
      </c>
      <c r="BR103" s="547">
        <f t="shared" si="150"/>
        <v>3.2007461111111107E-3</v>
      </c>
      <c r="BS103" s="547">
        <f t="shared" si="151"/>
        <v>2.9061077606417859E-3</v>
      </c>
      <c r="BT103" s="547">
        <f t="shared" si="152"/>
        <v>2.3341818181818182E-2</v>
      </c>
      <c r="BU103" s="473">
        <f t="shared" si="165"/>
        <v>30.017466775793302</v>
      </c>
      <c r="BV103" s="180">
        <f t="shared" si="166"/>
        <v>0.12838422278256134</v>
      </c>
      <c r="BW103" s="5">
        <f t="shared" si="167"/>
        <v>0.61740000000000006</v>
      </c>
      <c r="BX103" s="180">
        <f t="shared" si="168"/>
        <v>0.82785339397023872</v>
      </c>
      <c r="BY103" s="5">
        <f t="shared" si="169"/>
        <v>82.785339397023876</v>
      </c>
      <c r="CB103" s="582">
        <f t="shared" si="153"/>
        <v>-50</v>
      </c>
      <c r="CC103">
        <f t="shared" si="154"/>
        <v>-50</v>
      </c>
    </row>
    <row r="104" spans="5:81" x14ac:dyDescent="0.25">
      <c r="E104" s="177">
        <v>99</v>
      </c>
      <c r="F104" s="224">
        <f t="shared" si="180"/>
        <v>9.9000000000000005E-2</v>
      </c>
      <c r="G104" s="224"/>
      <c r="H104" s="224">
        <f t="shared" si="171"/>
        <v>0.62370000000000003</v>
      </c>
      <c r="I104" s="560">
        <f t="shared" si="110"/>
        <v>24</v>
      </c>
      <c r="J104" s="179">
        <f t="shared" si="111"/>
        <v>13.1</v>
      </c>
      <c r="K104" s="455">
        <f t="shared" si="112"/>
        <v>37.1</v>
      </c>
      <c r="L104" s="455"/>
      <c r="M104" s="224">
        <f t="shared" si="113"/>
        <v>0.35309973045822102</v>
      </c>
      <c r="N104" s="179">
        <f t="shared" si="114"/>
        <v>5.5295417789757408</v>
      </c>
      <c r="O104" s="179">
        <f t="shared" si="156"/>
        <v>0.62370000000000003</v>
      </c>
      <c r="P104" s="224">
        <f t="shared" si="172"/>
        <v>0.87770504428186369</v>
      </c>
      <c r="Q104" s="224">
        <f t="shared" si="116"/>
        <v>6.3</v>
      </c>
      <c r="R104" s="224">
        <f t="shared" si="173"/>
        <v>0.97522782697984844</v>
      </c>
      <c r="S104" s="179">
        <f t="shared" si="118"/>
        <v>146.20230266683734</v>
      </c>
      <c r="T104" s="551">
        <f t="shared" si="174"/>
        <v>6.3</v>
      </c>
      <c r="U104" s="551">
        <f t="shared" si="120"/>
        <v>0.16355152671755727</v>
      </c>
      <c r="V104" s="224">
        <f t="shared" si="175"/>
        <v>0.37480558206106873</v>
      </c>
      <c r="W104" s="224">
        <f t="shared" si="122"/>
        <v>0.68666671522638556</v>
      </c>
      <c r="X104" s="204">
        <f t="shared" si="123"/>
        <v>350</v>
      </c>
      <c r="Y104" s="455">
        <f t="shared" si="157"/>
        <v>350</v>
      </c>
      <c r="AA104" s="224">
        <f t="shared" si="124"/>
        <v>0.44022823537648331</v>
      </c>
      <c r="AB104" s="180">
        <f t="shared" si="176"/>
        <v>1.8482864844050828</v>
      </c>
      <c r="AC104" s="180">
        <f t="shared" si="177"/>
        <v>0.28478376412494877</v>
      </c>
      <c r="AD104" s="180"/>
      <c r="AE104" s="180">
        <f t="shared" si="127"/>
        <v>1.217557251908397</v>
      </c>
      <c r="AF104" s="564">
        <f t="shared" ref="AF104:AF105" si="181">MAX(10000,F104/(0.5*AE104/1000000*Isw_min*Nps))/1000</f>
        <v>280.38049940546961</v>
      </c>
      <c r="AG104" s="547">
        <f t="shared" si="128"/>
        <v>0.1235820610687023</v>
      </c>
      <c r="AI104" s="180">
        <f t="shared" si="129"/>
        <v>0.27360033416855112</v>
      </c>
      <c r="AJ104" s="180">
        <f t="shared" si="178"/>
        <v>0.28999999999999998</v>
      </c>
      <c r="AK104" s="180">
        <f t="shared" si="179"/>
        <v>1.160217428231697</v>
      </c>
      <c r="AM104" s="564">
        <f t="shared" si="132"/>
        <v>99</v>
      </c>
      <c r="AN104" s="473">
        <f t="shared" si="133"/>
        <v>280.38049940546961</v>
      </c>
      <c r="AP104">
        <f t="shared" si="134"/>
        <v>99</v>
      </c>
      <c r="AQ104">
        <f t="shared" si="135"/>
        <v>280.38049940546961</v>
      </c>
      <c r="AS104" s="5">
        <f t="shared" si="158"/>
        <v>3.566581849024598</v>
      </c>
      <c r="AT104" s="5">
        <f t="shared" si="136"/>
        <v>0.6645833333333333</v>
      </c>
      <c r="AU104" s="5">
        <f t="shared" si="159"/>
        <v>2.9019985156912647</v>
      </c>
      <c r="AV104" s="5">
        <f t="shared" si="137"/>
        <v>1.217557251908397</v>
      </c>
      <c r="AW104" s="180">
        <f t="shared" si="160"/>
        <v>0.18633620689655167</v>
      </c>
      <c r="AX104" s="180">
        <f t="shared" si="138"/>
        <v>0.64844999999999986</v>
      </c>
      <c r="AY104" s="180">
        <f t="shared" si="139"/>
        <v>0.23596249999999999</v>
      </c>
      <c r="AZ104" s="180">
        <f t="shared" si="161"/>
        <v>2.7481061609365889</v>
      </c>
      <c r="BA104" s="473">
        <f t="shared" si="140"/>
        <v>1.044345238095238</v>
      </c>
      <c r="BB104" s="5">
        <f t="shared" si="141"/>
        <v>6.9829339283821054E-2</v>
      </c>
      <c r="BC104" s="5"/>
      <c r="BD104" s="180">
        <f t="shared" si="162"/>
        <v>7.2274649774315733E-2</v>
      </c>
      <c r="BE104" s="180">
        <f t="shared" si="142"/>
        <v>0.30205766557618319</v>
      </c>
      <c r="BF104" s="180"/>
      <c r="BG104" s="547">
        <f t="shared" si="143"/>
        <v>1.828268749999999E-3</v>
      </c>
      <c r="BH104" s="547">
        <f t="shared" si="144"/>
        <v>3.0166137931034478E-2</v>
      </c>
      <c r="BI104" s="547">
        <f t="shared" si="145"/>
        <v>3.5047562425683698E-3</v>
      </c>
      <c r="BJ104" s="547">
        <f t="shared" si="146"/>
        <v>2.2190315083234238E-2</v>
      </c>
      <c r="BK104">
        <f t="shared" si="147"/>
        <v>6.96E-3</v>
      </c>
      <c r="BL104" s="473">
        <f t="shared" si="163"/>
        <v>64.649478006837086</v>
      </c>
      <c r="BM104" s="547">
        <f t="shared" si="148"/>
        <v>3.465E-2</v>
      </c>
      <c r="BN104" s="547"/>
      <c r="BP104" s="473">
        <f t="shared" si="164"/>
        <v>34.65</v>
      </c>
      <c r="BQ104" s="547">
        <f t="shared" si="149"/>
        <v>5.7459874999999966E-4</v>
      </c>
      <c r="BR104" s="547">
        <f t="shared" si="150"/>
        <v>3.1933591666666668E-3</v>
      </c>
      <c r="BS104" s="547">
        <f t="shared" si="151"/>
        <v>2.9808114891454953E-3</v>
      </c>
      <c r="BT104" s="547">
        <f t="shared" si="152"/>
        <v>2.3579999999999993E-2</v>
      </c>
      <c r="BU104" s="473">
        <f t="shared" si="165"/>
        <v>30.328769405812153</v>
      </c>
      <c r="BV104" s="180">
        <f t="shared" si="166"/>
        <v>0.12962824741264925</v>
      </c>
      <c r="BW104" s="5">
        <f t="shared" si="167"/>
        <v>0.62370000000000003</v>
      </c>
      <c r="BX104" s="180">
        <f t="shared" si="168"/>
        <v>0.82792594349426674</v>
      </c>
      <c r="BY104" s="5">
        <f t="shared" si="169"/>
        <v>82.792594349426679</v>
      </c>
      <c r="CB104" s="582">
        <f t="shared" si="153"/>
        <v>-50</v>
      </c>
      <c r="CC104">
        <f t="shared" si="154"/>
        <v>-50</v>
      </c>
    </row>
    <row r="105" spans="5:81" x14ac:dyDescent="0.25">
      <c r="E105" s="177">
        <v>100</v>
      </c>
      <c r="F105" s="224">
        <f t="shared" si="180"/>
        <v>0.1</v>
      </c>
      <c r="G105" s="224"/>
      <c r="H105" s="224">
        <f t="shared" si="171"/>
        <v>0.63</v>
      </c>
      <c r="I105" s="560">
        <f t="shared" si="110"/>
        <v>24</v>
      </c>
      <c r="J105" s="179">
        <f t="shared" si="111"/>
        <v>13.1</v>
      </c>
      <c r="K105" s="455">
        <f t="shared" si="112"/>
        <v>37.1</v>
      </c>
      <c r="L105" s="455"/>
      <c r="M105" s="224">
        <f t="shared" si="113"/>
        <v>0.35309973045822102</v>
      </c>
      <c r="N105" s="179">
        <f t="shared" si="114"/>
        <v>5.5295417789757408</v>
      </c>
      <c r="O105" s="179">
        <f t="shared" si="156"/>
        <v>0.63</v>
      </c>
      <c r="P105" s="224">
        <f t="shared" si="172"/>
        <v>0.87770504428186369</v>
      </c>
      <c r="Q105" s="224">
        <f t="shared" si="116"/>
        <v>6.3</v>
      </c>
      <c r="R105" s="224">
        <f t="shared" si="173"/>
        <v>0.97522782697984844</v>
      </c>
      <c r="S105" s="179">
        <f t="shared" si="118"/>
        <v>144.62070811994315</v>
      </c>
      <c r="T105" s="551">
        <f t="shared" si="174"/>
        <v>6.3</v>
      </c>
      <c r="U105" s="551">
        <f t="shared" si="120"/>
        <v>0.16520356234096692</v>
      </c>
      <c r="V105" s="224">
        <f t="shared" si="175"/>
        <v>0.37859149703138256</v>
      </c>
      <c r="W105" s="224">
        <f t="shared" si="122"/>
        <v>0.69360274265291466</v>
      </c>
      <c r="X105" s="204">
        <f t="shared" si="123"/>
        <v>350</v>
      </c>
      <c r="Y105" s="455">
        <f t="shared" si="157"/>
        <v>350</v>
      </c>
      <c r="AA105" s="224">
        <f t="shared" si="124"/>
        <v>0.44022823537648331</v>
      </c>
      <c r="AB105" s="180">
        <f t="shared" si="176"/>
        <v>1.8482864844050828</v>
      </c>
      <c r="AC105" s="180">
        <f t="shared" si="177"/>
        <v>0.28478376412494877</v>
      </c>
      <c r="AD105" s="180"/>
      <c r="AE105" s="180">
        <f t="shared" si="127"/>
        <v>1.217557251908397</v>
      </c>
      <c r="AF105" s="564">
        <f t="shared" si="181"/>
        <v>283.21262566209055</v>
      </c>
      <c r="AG105" s="547">
        <f t="shared" si="128"/>
        <v>0.1235820610687023</v>
      </c>
      <c r="AI105" s="180">
        <f t="shared" si="129"/>
        <v>0.27497868210695098</v>
      </c>
      <c r="AJ105" s="180">
        <f t="shared" si="178"/>
        <v>0.28999999999999998</v>
      </c>
      <c r="AK105" s="180">
        <f t="shared" si="179"/>
        <v>1.1618357860926232</v>
      </c>
      <c r="AM105" s="564">
        <f t="shared" si="132"/>
        <v>100</v>
      </c>
      <c r="AN105" s="473">
        <f t="shared" si="133"/>
        <v>283.21262566209055</v>
      </c>
      <c r="AP105">
        <f t="shared" si="134"/>
        <v>100</v>
      </c>
      <c r="AQ105" s="3">
        <f t="shared" si="135"/>
        <v>283.21262566209055</v>
      </c>
      <c r="AS105" s="5">
        <f t="shared" si="158"/>
        <v>3.5309160305343519</v>
      </c>
      <c r="AT105" s="5">
        <f t="shared" si="136"/>
        <v>0.6645833333333333</v>
      </c>
      <c r="AU105" s="5">
        <f t="shared" si="159"/>
        <v>2.8663326972010186</v>
      </c>
      <c r="AV105" s="5">
        <f t="shared" si="137"/>
        <v>1.217557251908397</v>
      </c>
      <c r="AW105" s="180">
        <f t="shared" si="160"/>
        <v>0.18821839080459765</v>
      </c>
      <c r="AX105" s="180">
        <f t="shared" si="138"/>
        <v>0.65499999999999992</v>
      </c>
      <c r="AY105" s="180">
        <f t="shared" si="139"/>
        <v>0.23541666666666666</v>
      </c>
      <c r="AZ105" s="180">
        <f t="shared" si="161"/>
        <v>2.782300884955752</v>
      </c>
      <c r="BA105" s="473">
        <f t="shared" si="140"/>
        <v>1.0548941798941798</v>
      </c>
      <c r="BB105" s="5">
        <f t="shared" si="141"/>
        <v>6.9667808612524751E-2</v>
      </c>
      <c r="BC105" s="5"/>
      <c r="BD105" s="180">
        <f t="shared" si="162"/>
        <v>7.2638756107802988E-2</v>
      </c>
      <c r="BE105" s="180">
        <f t="shared" si="142"/>
        <v>0.30170810028532175</v>
      </c>
      <c r="BF105" s="180"/>
      <c r="BG105" s="547">
        <f t="shared" si="143"/>
        <v>1.84673611111111E-3</v>
      </c>
      <c r="BH105" s="547">
        <f t="shared" si="144"/>
        <v>3.0470846394984322E-2</v>
      </c>
      <c r="BI105" s="547">
        <f t="shared" si="145"/>
        <v>3.5401578207761315E-3</v>
      </c>
      <c r="BJ105" s="547">
        <f t="shared" si="146"/>
        <v>2.2414459680034589E-2</v>
      </c>
      <c r="BK105">
        <f t="shared" si="147"/>
        <v>6.96E-3</v>
      </c>
      <c r="BL105" s="473">
        <f t="shared" si="163"/>
        <v>65.23220000690614</v>
      </c>
      <c r="BM105" s="547">
        <f t="shared" si="148"/>
        <v>3.4999999999999996E-2</v>
      </c>
      <c r="BN105" s="547"/>
      <c r="BP105" s="473">
        <f t="shared" si="164"/>
        <v>34.999999999999993</v>
      </c>
      <c r="BQ105" s="547">
        <f t="shared" si="149"/>
        <v>5.8040277777777745E-4</v>
      </c>
      <c r="BR105" s="547">
        <f t="shared" si="150"/>
        <v>3.185972222222222E-3</v>
      </c>
      <c r="BS105" s="547">
        <f t="shared" si="151"/>
        <v>3.0566557154885752E-3</v>
      </c>
      <c r="BT105" s="547">
        <f t="shared" si="152"/>
        <v>2.3818181818181815E-2</v>
      </c>
      <c r="BU105" s="473">
        <f t="shared" si="165"/>
        <v>30.641212533670391</v>
      </c>
      <c r="BV105" s="180">
        <f t="shared" si="166"/>
        <v>0.13087341254057652</v>
      </c>
      <c r="BW105" s="5">
        <f t="shared" si="167"/>
        <v>0.63</v>
      </c>
      <c r="BX105" s="180">
        <f t="shared" si="168"/>
        <v>0.82799581325415661</v>
      </c>
      <c r="BY105" s="5">
        <f t="shared" si="169"/>
        <v>82.799581325415659</v>
      </c>
      <c r="CB105" s="582">
        <f t="shared" si="153"/>
        <v>-50</v>
      </c>
      <c r="CC105">
        <f t="shared" si="154"/>
        <v>-50</v>
      </c>
    </row>
    <row r="106" spans="5:81" x14ac:dyDescent="0.25">
      <c r="E106" s="177"/>
      <c r="F106" s="224"/>
      <c r="G106" s="224"/>
      <c r="H106" s="224"/>
      <c r="I106" s="560"/>
      <c r="J106" s="455"/>
      <c r="K106" s="455"/>
      <c r="L106" s="455"/>
      <c r="M106" s="224"/>
      <c r="N106" s="179"/>
      <c r="O106" s="179"/>
      <c r="P106" s="224"/>
      <c r="Q106" s="224"/>
      <c r="R106" s="224"/>
      <c r="S106" s="179"/>
      <c r="T106" s="179"/>
      <c r="U106" s="224"/>
      <c r="V106" s="224"/>
      <c r="W106" s="224"/>
      <c r="X106" s="204"/>
      <c r="Y106" s="455"/>
      <c r="AA106" s="224"/>
      <c r="AB106" s="180"/>
      <c r="AC106" s="180"/>
      <c r="AD106" s="180"/>
      <c r="AE106" s="180"/>
      <c r="AF106" s="564"/>
      <c r="AI106" s="180"/>
      <c r="AJ106" s="180"/>
      <c r="AK106" s="180"/>
      <c r="AM106" s="564"/>
      <c r="AN106" s="473"/>
      <c r="AQ106" s="3"/>
      <c r="AS106" s="5"/>
      <c r="AT106" s="5"/>
      <c r="AU106" s="5"/>
      <c r="AV106" s="5"/>
      <c r="AW106" s="180"/>
      <c r="AX106" s="180"/>
      <c r="AY106" s="180"/>
      <c r="AZ106" s="180"/>
      <c r="BA106" s="473"/>
      <c r="BB106" s="5"/>
      <c r="BC106" s="5"/>
      <c r="BD106" s="180"/>
      <c r="BE106" s="180"/>
      <c r="BF106" s="180"/>
      <c r="BG106" s="547"/>
      <c r="BH106" s="547"/>
      <c r="BI106" s="547"/>
      <c r="BJ106" s="547"/>
      <c r="BL106" s="473"/>
      <c r="BM106" s="547"/>
      <c r="BN106" s="547"/>
      <c r="BP106" s="473"/>
      <c r="BQ106" s="547"/>
      <c r="BR106" s="547"/>
      <c r="BS106" s="547"/>
      <c r="BT106" s="547"/>
      <c r="BU106" s="473"/>
      <c r="BV106" s="180"/>
      <c r="BW106" s="5"/>
      <c r="BX106" s="180"/>
      <c r="BY106" s="5"/>
      <c r="CB106" s="582"/>
    </row>
    <row r="107" spans="5:81" x14ac:dyDescent="0.25">
      <c r="H107" s="224"/>
      <c r="I107" s="560"/>
      <c r="J107" s="455"/>
      <c r="K107" s="455"/>
      <c r="L107" s="455"/>
      <c r="M107" s="224"/>
      <c r="N107" s="179"/>
      <c r="O107" s="179"/>
      <c r="P107" s="224"/>
      <c r="Q107" s="224"/>
      <c r="R107" s="224"/>
      <c r="S107" s="179"/>
      <c r="T107" s="179"/>
      <c r="U107" s="224"/>
      <c r="V107" s="224"/>
      <c r="W107" s="224"/>
      <c r="X107" s="204"/>
      <c r="Y107" s="455"/>
      <c r="AA107" s="224"/>
      <c r="AB107" s="180"/>
      <c r="AC107" s="180"/>
      <c r="AD107" s="180"/>
      <c r="AE107" s="180"/>
      <c r="AF107" s="564"/>
      <c r="AI107" s="180"/>
      <c r="AJ107" s="180"/>
      <c r="AK107" s="180"/>
      <c r="AM107" s="564"/>
      <c r="AN107" s="473"/>
      <c r="AS107" s="5"/>
      <c r="AT107" s="5"/>
      <c r="AU107" s="5"/>
      <c r="AV107" s="5"/>
      <c r="AW107" s="180"/>
      <c r="AX107" s="180"/>
      <c r="AY107" s="180"/>
      <c r="AZ107" s="180"/>
      <c r="BD107" s="180"/>
      <c r="BE107" s="180"/>
      <c r="BG107" s="547"/>
      <c r="BH107" s="547"/>
      <c r="BI107" s="547"/>
      <c r="BJ107" s="547"/>
      <c r="BL107" s="473"/>
      <c r="BM107" s="547"/>
      <c r="BP107" s="473"/>
      <c r="BQ107" s="547"/>
      <c r="BR107" s="547"/>
      <c r="BS107" s="547"/>
      <c r="BT107" s="547"/>
      <c r="BU107" s="473"/>
      <c r="BV107" s="180"/>
      <c r="BW107" s="5"/>
      <c r="BX107" s="180"/>
      <c r="BY107" s="5"/>
      <c r="CB107" s="582"/>
    </row>
    <row r="108" spans="5:81" x14ac:dyDescent="0.25">
      <c r="E108" s="457" t="s">
        <v>447</v>
      </c>
      <c r="H108" s="224"/>
      <c r="I108" s="560"/>
      <c r="J108" s="455"/>
      <c r="K108" s="455"/>
      <c r="L108" s="455"/>
      <c r="M108" s="224"/>
      <c r="N108" s="179"/>
      <c r="O108" s="179"/>
      <c r="P108" s="224"/>
      <c r="Q108" s="224"/>
      <c r="R108" s="224"/>
      <c r="S108" s="179"/>
      <c r="T108" s="179"/>
      <c r="U108" s="224"/>
      <c r="V108" s="224"/>
      <c r="W108" s="224"/>
      <c r="X108" s="204"/>
      <c r="Y108" s="455"/>
      <c r="AA108" s="224"/>
      <c r="AB108" s="180"/>
      <c r="AC108" s="180"/>
      <c r="AD108" s="180"/>
      <c r="AE108" s="180"/>
      <c r="AF108" s="564"/>
      <c r="AI108" s="180"/>
      <c r="AJ108" s="180"/>
      <c r="AK108" s="180"/>
      <c r="AM108" s="564"/>
      <c r="AN108" s="473"/>
      <c r="AS108" s="5"/>
      <c r="AT108" s="5"/>
      <c r="AU108" s="5"/>
      <c r="AV108" s="5"/>
      <c r="AW108" s="180"/>
      <c r="AX108" s="180"/>
      <c r="AY108" s="180"/>
      <c r="AZ108" s="180"/>
      <c r="BD108" s="180"/>
      <c r="BE108" s="180"/>
      <c r="BG108" s="547"/>
      <c r="BH108" s="547"/>
      <c r="BI108" s="547"/>
      <c r="BJ108" s="547"/>
      <c r="BL108" s="473"/>
      <c r="BM108" s="547"/>
      <c r="BP108" s="473"/>
      <c r="BQ108" s="547"/>
      <c r="BR108" s="547"/>
      <c r="BS108" s="547"/>
      <c r="BT108" s="547"/>
      <c r="BU108" s="473"/>
      <c r="BV108" s="180"/>
      <c r="BW108" s="5"/>
      <c r="BX108" s="180"/>
      <c r="BY108" s="5"/>
      <c r="CB108" s="582"/>
    </row>
    <row r="109" spans="5:81" ht="45" customHeight="1" thickBot="1" x14ac:dyDescent="0.3">
      <c r="E109" s="248" t="s">
        <v>25</v>
      </c>
      <c r="F109" s="456" t="s">
        <v>195</v>
      </c>
      <c r="G109" s="267"/>
      <c r="H109" s="546" t="s">
        <v>224</v>
      </c>
      <c r="I109" s="249" t="s">
        <v>425</v>
      </c>
      <c r="J109" s="250" t="s">
        <v>431</v>
      </c>
      <c r="K109" s="546" t="s">
        <v>426</v>
      </c>
      <c r="L109" s="546"/>
      <c r="M109" s="251" t="s">
        <v>48</v>
      </c>
      <c r="N109" s="546" t="s">
        <v>415</v>
      </c>
      <c r="O109" s="546" t="s">
        <v>687</v>
      </c>
      <c r="P109" s="546" t="s">
        <v>416</v>
      </c>
      <c r="Q109" s="546" t="s">
        <v>446</v>
      </c>
      <c r="R109" s="546" t="s">
        <v>685</v>
      </c>
      <c r="S109" s="546" t="s">
        <v>688</v>
      </c>
      <c r="T109" s="546" t="s">
        <v>686</v>
      </c>
      <c r="U109" s="546" t="s">
        <v>427</v>
      </c>
      <c r="V109" s="546" t="s">
        <v>479</v>
      </c>
      <c r="W109" s="546" t="s">
        <v>478</v>
      </c>
      <c r="X109" s="566" t="s">
        <v>433</v>
      </c>
      <c r="Y109" s="561" t="s">
        <v>438</v>
      </c>
      <c r="AA109" s="252" t="s">
        <v>430</v>
      </c>
      <c r="AB109" s="252" t="s">
        <v>477</v>
      </c>
      <c r="AC109" s="252" t="s">
        <v>436</v>
      </c>
      <c r="AD109" s="563"/>
      <c r="AE109" s="252" t="s">
        <v>476</v>
      </c>
      <c r="AF109" s="252" t="s">
        <v>439</v>
      </c>
      <c r="AG109" s="252" t="s">
        <v>440</v>
      </c>
      <c r="AH109" s="563"/>
      <c r="AI109" s="252" t="s">
        <v>442</v>
      </c>
      <c r="AJ109" s="567" t="s">
        <v>443</v>
      </c>
      <c r="AK109" s="567" t="s">
        <v>444</v>
      </c>
      <c r="AM109" s="562" t="s">
        <v>276</v>
      </c>
      <c r="AN109" s="562" t="s">
        <v>445</v>
      </c>
      <c r="AP109" s="252" t="s">
        <v>276</v>
      </c>
      <c r="AQ109" s="252" t="s">
        <v>445</v>
      </c>
      <c r="AR109" s="568"/>
      <c r="AS109" s="252" t="s">
        <v>480</v>
      </c>
      <c r="AT109" s="5"/>
      <c r="AU109" s="5"/>
      <c r="AV109" s="5"/>
      <c r="AW109" s="180"/>
      <c r="AX109" s="180"/>
      <c r="AY109" s="180"/>
      <c r="AZ109" s="180"/>
      <c r="BA109" s="252" t="s">
        <v>495</v>
      </c>
      <c r="BB109" s="252" t="s">
        <v>496</v>
      </c>
      <c r="BC109" s="563"/>
      <c r="BD109" s="577" t="s">
        <v>469</v>
      </c>
      <c r="BE109" s="252" t="s">
        <v>470</v>
      </c>
      <c r="BF109" s="563"/>
      <c r="BG109" s="577" t="s">
        <v>487</v>
      </c>
      <c r="BH109" s="252" t="s">
        <v>488</v>
      </c>
      <c r="BI109" s="252" t="s">
        <v>486</v>
      </c>
      <c r="BJ109" s="252" t="s">
        <v>482</v>
      </c>
      <c r="BK109" s="252" t="s">
        <v>491</v>
      </c>
      <c r="BL109" s="252" t="s">
        <v>506</v>
      </c>
      <c r="BM109" s="577" t="s">
        <v>489</v>
      </c>
      <c r="BN109" s="252" t="s">
        <v>490</v>
      </c>
      <c r="BO109" s="252" t="s">
        <v>498</v>
      </c>
      <c r="BP109" s="252" t="s">
        <v>502</v>
      </c>
      <c r="BQ109" s="577" t="s">
        <v>471</v>
      </c>
      <c r="BR109" s="252" t="s">
        <v>472</v>
      </c>
      <c r="BS109" s="252" t="s">
        <v>481</v>
      </c>
      <c r="BT109" s="252" t="s">
        <v>499</v>
      </c>
      <c r="BU109" s="252" t="s">
        <v>501</v>
      </c>
      <c r="BV109" s="577" t="s">
        <v>497</v>
      </c>
      <c r="BW109" s="252" t="s">
        <v>224</v>
      </c>
      <c r="BX109" s="252" t="s">
        <v>47</v>
      </c>
      <c r="BY109" s="252" t="s">
        <v>500</v>
      </c>
      <c r="BZ109" s="252"/>
      <c r="CB109" s="582"/>
    </row>
    <row r="110" spans="5:81" x14ac:dyDescent="0.25">
      <c r="E110" s="177">
        <v>0.1</v>
      </c>
      <c r="F110" s="224">
        <v>1.0000000000000001E-9</v>
      </c>
      <c r="G110" s="224"/>
      <c r="H110" s="224">
        <f t="shared" ref="H110:H141" si="182">F110*Vout</f>
        <v>6.3000000000000002E-9</v>
      </c>
      <c r="I110" s="560">
        <f t="shared" ref="I110:I141" si="183">VIN_min</f>
        <v>10</v>
      </c>
      <c r="J110" s="455">
        <f t="shared" ref="J110:J141" si="184">(T110+Vfwd1)*Nps</f>
        <v>13.1</v>
      </c>
      <c r="K110" s="455">
        <f t="shared" ref="K110:K141" si="185">(Vout+Vfwd1)*Nps+I110</f>
        <v>23.1</v>
      </c>
      <c r="L110" s="455"/>
      <c r="M110" s="224">
        <f t="shared" ref="M110:M141" si="186">(Vout+Vfwd1)*Nps/((Vout+Vfwd1)*Nps+I110)</f>
        <v>0.5670995670995671</v>
      </c>
      <c r="N110" s="179">
        <f>M110*I110*Isw_max*0.5*Efficiency</f>
        <v>3.7003246753246755</v>
      </c>
      <c r="O110" s="179">
        <f t="shared" si="156"/>
        <v>6.3000000000000002E-9</v>
      </c>
      <c r="P110" s="224">
        <f t="shared" ref="P110:P141" si="187">N110/Vout</f>
        <v>0.58735312306740883</v>
      </c>
      <c r="Q110" s="224">
        <f t="shared" ref="Q110:Q141" si="188">MIN(Vout,N110/F110)</f>
        <v>6.3</v>
      </c>
      <c r="R110" s="224"/>
      <c r="S110" s="179">
        <f t="shared" ref="S110:S141" si="189">(SQRT(Isw_max^2*Nps^2*I110^2+4*Isw_max*F110/Efficiency*(Nps^2*Vfwd1*I110-Nps*I110^2)+4*(F110/Efficiency)^2*Nps^2*Vfwd1^2+8*(F110/Efficiency)^2*Nps*Vfwd1*I110+4*(F110/Efficiency)^2*I110^2)-2*F110/Efficiency*I110-2*F110/Efficiency*Nps*Vfwd1+Isw_max*Nps*I110)/(4*F110/Efficiency*Nps)</f>
        <v>6524999995.000001</v>
      </c>
      <c r="T110" s="179">
        <f t="shared" ref="T110:T141" si="190">MIN(Vout, S110)</f>
        <v>6.3</v>
      </c>
      <c r="U110" s="224">
        <f t="shared" ref="U110:U141" si="191">MIN(2*Vout*F110/(Efficiency*I110*M110), Isw_max)</f>
        <v>2.468702290076336E-9</v>
      </c>
      <c r="V110" s="224">
        <f t="shared" ref="V110:V141" si="192">L*U110/I110*1000000</f>
        <v>1.3577862595419848E-8</v>
      </c>
      <c r="W110" s="224">
        <f t="shared" ref="W110:W141" si="193">L*U110/J110*1000000</f>
        <v>1.0364780607190724E-8</v>
      </c>
      <c r="X110" s="204">
        <f t="shared" ref="X110:X141" si="194">IF(1/((350000*L)*(1/I110+1/J110))&gt;Isw_min, 350, 0.001/((Isw_min*L)*(1/I110+1/J110)))</f>
        <v>350</v>
      </c>
      <c r="Y110" s="455">
        <f t="shared" ref="Y110:Y169" si="195">MIN(1/(V110+W110)*1000, 350)</f>
        <v>350</v>
      </c>
      <c r="AA110" s="224">
        <f t="shared" ref="AA110:AA141" si="196">1/((X110*1000*L)*(1/I110+1/J110))</f>
        <v>0.29459717771406085</v>
      </c>
      <c r="AB110" s="180">
        <f t="shared" ref="AB110:AB141" si="197">L*AA110/J110*1000000</f>
        <v>1.2368583797155226</v>
      </c>
      <c r="AC110" s="180">
        <f t="shared" ref="AC110:AC141" si="198">0.5*AB110*AA110*Nps*X110/1000</f>
        <v>0.1275312457636627</v>
      </c>
      <c r="AD110" s="180"/>
      <c r="AE110" s="180">
        <f t="shared" ref="AE110:AE141" si="199">L*Isw_min/J110*1000000</f>
        <v>1.217557251908397</v>
      </c>
      <c r="AF110" s="564">
        <f t="shared" ref="AF110:AF141" si="200">MAX(10000,F110/(0.5*AE110/1000000*Isw_min*Nps))/1000</f>
        <v>10</v>
      </c>
      <c r="AG110" s="547">
        <f t="shared" ref="AG110:AG141" si="201">0.5*AE110/1000000*Isw_min*Nps*X110*1000</f>
        <v>0.1235820610687023</v>
      </c>
      <c r="AI110" s="180">
        <f t="shared" ref="AI110:AI141" si="202">SQRT(F110/(0.5*L/J110*Fsw_DCM*Nps))</f>
        <v>2.6086768303480607E-5</v>
      </c>
      <c r="AJ110" s="180">
        <f t="shared" ref="AJ110:AJ141" si="203">MAX(IF(F110&gt;AC110,U110,AI110),Isw_min)</f>
        <v>0.28999999999999998</v>
      </c>
      <c r="AK110" s="180">
        <f t="shared" ref="AK110:AK141" si="204">IF(F110&gt;AG110, (AJ110-Isw_min)/1.08*0.8+1.2, AF110*0.2/350+1)</f>
        <v>1.0057142857142858</v>
      </c>
      <c r="AM110" s="564">
        <f t="shared" ref="AM110:AM141" si="205">F110*1000</f>
        <v>1.0000000000000002E-6</v>
      </c>
      <c r="AN110" s="473">
        <f t="shared" ref="AN110:AN141" si="206">IF(F110&gt;AG110, Y110, AF110)</f>
        <v>10</v>
      </c>
      <c r="AP110" s="473">
        <f t="shared" ref="AP110:AP141" si="207">IF(H110&gt;N110, "",AM110)</f>
        <v>1.0000000000000002E-6</v>
      </c>
      <c r="AQ110" s="473">
        <f t="shared" ref="AQ110:AQ141" si="208">IF(H110&gt;N110, "",AN110)</f>
        <v>10</v>
      </c>
      <c r="AS110" s="5">
        <f t="shared" si="158"/>
        <v>100</v>
      </c>
      <c r="AT110" s="5">
        <f t="shared" ref="AT110:AT141" si="209">L*AJ110/I110*1000000</f>
        <v>1.5949999999999998</v>
      </c>
      <c r="AU110" s="5">
        <f t="shared" ref="AU110:AU169" si="210">AS110-AT110</f>
        <v>98.405000000000001</v>
      </c>
      <c r="AV110" s="5"/>
      <c r="AW110" s="180">
        <f t="shared" ref="AW110:AW169" si="211">AT110/AS110</f>
        <v>1.5949999999999999E-2</v>
      </c>
      <c r="AX110" s="180">
        <f t="shared" si="138"/>
        <v>2.3127499999999999E-2</v>
      </c>
      <c r="AY110" s="180">
        <f t="shared" si="139"/>
        <v>0.28537449999999998</v>
      </c>
      <c r="AZ110" s="180">
        <f t="shared" si="161"/>
        <v>8.1042629947665257E-2</v>
      </c>
      <c r="BD110" s="180">
        <f t="shared" si="162"/>
        <v>2.1145488092419777E-2</v>
      </c>
      <c r="BE110" s="180">
        <f t="shared" si="142"/>
        <v>0.33218188792688064</v>
      </c>
      <c r="BG110" s="547">
        <f t="shared" ref="BG110:BG169" si="212">Rdson*BD110^2</f>
        <v>1.5649608333333332E-4</v>
      </c>
      <c r="BH110" s="547">
        <f t="shared" ref="BH110:BH169" si="213">0.5*K110*AJ110*AN110*1000*Trise</f>
        <v>6.6989999999999997E-4</v>
      </c>
      <c r="BI110" s="547">
        <f t="shared" ref="BI110:BI169" si="214">Qg*Vdd*AN110*1000</f>
        <v>1.25E-4</v>
      </c>
      <c r="BJ110" s="547">
        <f t="shared" ref="BJ110:BJ169" si="215">0.5*(Coss+Csw)*K110^2*AN110*1000</f>
        <v>3.0682574999999998E-4</v>
      </c>
      <c r="BK110">
        <f t="shared" ref="BK110:BK169" si="216">I110*IQ</f>
        <v>2.8999999999999998E-3</v>
      </c>
      <c r="BL110" s="473">
        <f t="shared" ref="BL110:BL169" si="217">SUM(BG110:BK110)*1000</f>
        <v>4.1582218333333332</v>
      </c>
      <c r="BM110" s="547">
        <f t="shared" ref="BM110:BM169" si="218">Vfwd2*F110</f>
        <v>3.4999999999999998E-10</v>
      </c>
      <c r="BP110" s="473">
        <f t="shared" ref="BP110:BP169" si="219">SUM(BM110:BO110)*1000</f>
        <v>3.4999999999999998E-7</v>
      </c>
      <c r="BQ110" s="547">
        <f t="shared" ref="BQ110:BQ169" si="220">Rdcr_pri*BD110^2</f>
        <v>4.9184483333333326E-5</v>
      </c>
      <c r="BR110" s="547">
        <f t="shared" ref="BR110:BR169" si="221">Rdcr_sec*BE110^2</f>
        <v>3.8620682333333342E-3</v>
      </c>
      <c r="BS110" s="547">
        <f t="shared" ref="BS110:BS169" si="222">AJ110^2.5*AN110^2.5*k_core</f>
        <v>7.1608569668720578E-7</v>
      </c>
      <c r="BT110" s="547">
        <f t="shared" ref="BT110:BT169" si="223">0.5*Lleak*0.000000001*AJ110^2*AN110*1000</f>
        <v>8.4100000000000006E-4</v>
      </c>
      <c r="BU110" s="473">
        <f t="shared" ref="BU110:BU169" si="224">SUM(BQ110:BT110)*1000</f>
        <v>4.7529688023633545</v>
      </c>
      <c r="BV110" s="180">
        <f t="shared" ref="BV110:BV169" si="225">SUM(BG110:BK110,BM110:BO110,BQ110:BT110)</f>
        <v>8.9111909856966886E-3</v>
      </c>
      <c r="BW110" s="5">
        <f t="shared" ref="BW110:BW169" si="226">MIN(H110,O110)</f>
        <v>6.3000000000000002E-9</v>
      </c>
      <c r="BX110" s="180">
        <f t="shared" ref="BX110:BX169" si="227">BW110/(BW110+BV110)</f>
        <v>7.0697570685726969E-7</v>
      </c>
      <c r="BY110" s="5">
        <f t="shared" ref="BY110:BY169" si="228">BX110*100</f>
        <v>7.0697570685726964E-5</v>
      </c>
      <c r="CB110" s="582">
        <f t="shared" ref="CB110:CB141" si="229">IF(ABS(F110-Ioutmax_Vinmin)&lt;Iout/200, AN110, -50)</f>
        <v>-50</v>
      </c>
      <c r="CC110">
        <f t="shared" ref="CC110:CC141" si="230">IF(ABS(F110-Ioutmax_Vinmin)&lt;Iout/200, N110*BX110, -50)</f>
        <v>-50</v>
      </c>
    </row>
    <row r="111" spans="5:81" x14ac:dyDescent="0.25">
      <c r="E111" s="177">
        <v>1</v>
      </c>
      <c r="F111" s="224">
        <f t="shared" ref="F111:F142" si="231">IF(PLOT_TYPE=1, E111/100*Iout_max, min_I*EXP(N111*rr/100))</f>
        <v>1E-3</v>
      </c>
      <c r="G111" s="224"/>
      <c r="H111" s="224">
        <f t="shared" si="182"/>
        <v>6.3E-3</v>
      </c>
      <c r="I111" s="560">
        <f t="shared" si="183"/>
        <v>10</v>
      </c>
      <c r="J111" s="455">
        <f t="shared" si="184"/>
        <v>13.1</v>
      </c>
      <c r="K111" s="455">
        <f t="shared" si="185"/>
        <v>23.1</v>
      </c>
      <c r="L111" s="455"/>
      <c r="M111" s="224">
        <f t="shared" si="186"/>
        <v>0.5670995670995671</v>
      </c>
      <c r="N111" s="179">
        <f t="shared" ref="N111:N141" si="232">M111*I111*Isw_max*0.5*Efficiency</f>
        <v>3.7003246753246755</v>
      </c>
      <c r="O111" s="179">
        <f t="shared" si="156"/>
        <v>6.3E-3</v>
      </c>
      <c r="P111" s="224">
        <f t="shared" si="187"/>
        <v>0.58735312306740883</v>
      </c>
      <c r="Q111" s="224">
        <f t="shared" si="188"/>
        <v>6.3</v>
      </c>
      <c r="R111" s="224"/>
      <c r="S111" s="179">
        <f t="shared" si="189"/>
        <v>6520.0001917104355</v>
      </c>
      <c r="T111" s="179">
        <f t="shared" si="190"/>
        <v>6.3</v>
      </c>
      <c r="U111" s="224">
        <f t="shared" si="191"/>
        <v>2.4687022900763359E-3</v>
      </c>
      <c r="V111" s="224">
        <f t="shared" si="192"/>
        <v>1.3577862595419848E-2</v>
      </c>
      <c r="W111" s="224">
        <f t="shared" si="193"/>
        <v>1.0364780607190724E-2</v>
      </c>
      <c r="X111" s="204">
        <f t="shared" si="194"/>
        <v>350</v>
      </c>
      <c r="Y111" s="455">
        <f t="shared" si="195"/>
        <v>350</v>
      </c>
      <c r="AA111" s="224">
        <f t="shared" si="196"/>
        <v>0.29459717771406085</v>
      </c>
      <c r="AB111" s="180">
        <f t="shared" si="197"/>
        <v>1.2368583797155226</v>
      </c>
      <c r="AC111" s="180">
        <f t="shared" si="198"/>
        <v>0.1275312457636627</v>
      </c>
      <c r="AD111" s="180"/>
      <c r="AE111" s="180">
        <f t="shared" si="199"/>
        <v>1.217557251908397</v>
      </c>
      <c r="AF111" s="564">
        <f t="shared" si="200"/>
        <v>10</v>
      </c>
      <c r="AG111" s="547">
        <f t="shared" si="201"/>
        <v>0.1235820610687023</v>
      </c>
      <c r="AI111" s="180">
        <f t="shared" si="202"/>
        <v>2.6086768303480605E-2</v>
      </c>
      <c r="AJ111" s="180">
        <f t="shared" si="203"/>
        <v>0.28999999999999998</v>
      </c>
      <c r="AK111" s="180">
        <f t="shared" si="204"/>
        <v>1.0057142857142858</v>
      </c>
      <c r="AM111" s="564">
        <f t="shared" si="205"/>
        <v>1</v>
      </c>
      <c r="AN111" s="473">
        <f t="shared" si="206"/>
        <v>10</v>
      </c>
      <c r="AP111" s="473">
        <f t="shared" si="207"/>
        <v>1</v>
      </c>
      <c r="AQ111" s="473">
        <f t="shared" si="208"/>
        <v>10</v>
      </c>
      <c r="AS111" s="5">
        <f t="shared" si="158"/>
        <v>100</v>
      </c>
      <c r="AT111" s="5">
        <f t="shared" si="209"/>
        <v>1.5949999999999998</v>
      </c>
      <c r="AU111" s="5">
        <f t="shared" si="210"/>
        <v>98.405000000000001</v>
      </c>
      <c r="AV111" s="5"/>
      <c r="AW111" s="180">
        <f t="shared" si="211"/>
        <v>1.5949999999999999E-2</v>
      </c>
      <c r="AX111" s="180">
        <f t="shared" si="138"/>
        <v>2.3127499999999999E-2</v>
      </c>
      <c r="AY111" s="180">
        <f t="shared" si="139"/>
        <v>0.28537449999999998</v>
      </c>
      <c r="AZ111" s="180">
        <f t="shared" si="161"/>
        <v>8.1042629947665257E-2</v>
      </c>
      <c r="BD111" s="180">
        <f t="shared" si="162"/>
        <v>2.1145488092419777E-2</v>
      </c>
      <c r="BE111" s="180">
        <f t="shared" si="142"/>
        <v>0.33218188792688064</v>
      </c>
      <c r="BG111" s="547">
        <f t="shared" si="212"/>
        <v>1.5649608333333332E-4</v>
      </c>
      <c r="BH111" s="547">
        <f t="shared" si="213"/>
        <v>6.6989999999999997E-4</v>
      </c>
      <c r="BI111" s="547">
        <f t="shared" si="214"/>
        <v>1.25E-4</v>
      </c>
      <c r="BJ111" s="547">
        <f t="shared" si="215"/>
        <v>3.0682574999999998E-4</v>
      </c>
      <c r="BK111">
        <f t="shared" si="216"/>
        <v>2.8999999999999998E-3</v>
      </c>
      <c r="BL111" s="473">
        <f t="shared" si="217"/>
        <v>4.1582218333333332</v>
      </c>
      <c r="BM111" s="547">
        <f t="shared" si="218"/>
        <v>3.5E-4</v>
      </c>
      <c r="BP111" s="473">
        <f t="shared" si="219"/>
        <v>0.35</v>
      </c>
      <c r="BQ111" s="547">
        <f t="shared" si="220"/>
        <v>4.9184483333333326E-5</v>
      </c>
      <c r="BR111" s="547">
        <f t="shared" si="221"/>
        <v>3.8620682333333342E-3</v>
      </c>
      <c r="BS111" s="547">
        <f t="shared" si="222"/>
        <v>7.1608569668720578E-7</v>
      </c>
      <c r="BT111" s="547">
        <f t="shared" si="223"/>
        <v>8.4100000000000006E-4</v>
      </c>
      <c r="BU111" s="473">
        <f t="shared" si="224"/>
        <v>4.7529688023633545</v>
      </c>
      <c r="BV111" s="180">
        <f t="shared" si="225"/>
        <v>9.261190635696687E-3</v>
      </c>
      <c r="BW111" s="5">
        <f t="shared" si="226"/>
        <v>6.3E-3</v>
      </c>
      <c r="BX111" s="180">
        <f t="shared" si="227"/>
        <v>0.40485333979188437</v>
      </c>
      <c r="BY111" s="5">
        <f t="shared" si="228"/>
        <v>40.485333979188439</v>
      </c>
      <c r="CB111" s="582">
        <f t="shared" si="229"/>
        <v>-50</v>
      </c>
      <c r="CC111">
        <f t="shared" si="230"/>
        <v>-50</v>
      </c>
    </row>
    <row r="112" spans="5:81" x14ac:dyDescent="0.25">
      <c r="E112" s="177">
        <v>2</v>
      </c>
      <c r="F112" s="224">
        <f t="shared" si="231"/>
        <v>2E-3</v>
      </c>
      <c r="G112" s="224"/>
      <c r="H112" s="224">
        <f t="shared" si="182"/>
        <v>1.26E-2</v>
      </c>
      <c r="I112" s="560">
        <f t="shared" si="183"/>
        <v>10</v>
      </c>
      <c r="J112" s="455">
        <f t="shared" si="184"/>
        <v>13.1</v>
      </c>
      <c r="K112" s="455">
        <f t="shared" si="185"/>
        <v>23.1</v>
      </c>
      <c r="L112" s="455"/>
      <c r="M112" s="224">
        <f t="shared" si="186"/>
        <v>0.5670995670995671</v>
      </c>
      <c r="N112" s="179">
        <f t="shared" si="232"/>
        <v>3.7003246753246755</v>
      </c>
      <c r="O112" s="179">
        <f t="shared" si="156"/>
        <v>1.26E-2</v>
      </c>
      <c r="P112" s="224">
        <f t="shared" si="187"/>
        <v>0.58735312306740883</v>
      </c>
      <c r="Q112" s="224">
        <f t="shared" si="188"/>
        <v>6.3</v>
      </c>
      <c r="R112" s="224"/>
      <c r="S112" s="179">
        <f t="shared" si="189"/>
        <v>3257.5003837003615</v>
      </c>
      <c r="T112" s="179">
        <f t="shared" si="190"/>
        <v>6.3</v>
      </c>
      <c r="U112" s="224">
        <f t="shared" si="191"/>
        <v>4.9374045801526718E-3</v>
      </c>
      <c r="V112" s="224">
        <f t="shared" si="192"/>
        <v>2.7155725190839697E-2</v>
      </c>
      <c r="W112" s="224">
        <f t="shared" si="193"/>
        <v>2.0729561214381447E-2</v>
      </c>
      <c r="X112" s="204">
        <f t="shared" si="194"/>
        <v>350</v>
      </c>
      <c r="Y112" s="455">
        <f t="shared" si="195"/>
        <v>350</v>
      </c>
      <c r="AA112" s="224">
        <f t="shared" si="196"/>
        <v>0.29459717771406085</v>
      </c>
      <c r="AB112" s="180">
        <f t="shared" si="197"/>
        <v>1.2368583797155226</v>
      </c>
      <c r="AC112" s="180">
        <f t="shared" si="198"/>
        <v>0.1275312457636627</v>
      </c>
      <c r="AD112" s="180"/>
      <c r="AE112" s="180">
        <f t="shared" si="199"/>
        <v>1.217557251908397</v>
      </c>
      <c r="AF112" s="564">
        <f t="shared" si="200"/>
        <v>10</v>
      </c>
      <c r="AG112" s="547">
        <f t="shared" si="201"/>
        <v>0.1235820610687023</v>
      </c>
      <c r="AI112" s="180">
        <f t="shared" si="202"/>
        <v>3.689226153326685E-2</v>
      </c>
      <c r="AJ112" s="180">
        <f t="shared" si="203"/>
        <v>0.28999999999999998</v>
      </c>
      <c r="AK112" s="180">
        <f t="shared" si="204"/>
        <v>1.0057142857142858</v>
      </c>
      <c r="AM112" s="564">
        <f t="shared" si="205"/>
        <v>2</v>
      </c>
      <c r="AN112" s="473">
        <f t="shared" si="206"/>
        <v>10</v>
      </c>
      <c r="AP112" s="473">
        <f t="shared" si="207"/>
        <v>2</v>
      </c>
      <c r="AQ112" s="473">
        <f t="shared" si="208"/>
        <v>10</v>
      </c>
      <c r="AS112" s="5">
        <f t="shared" si="158"/>
        <v>100</v>
      </c>
      <c r="AT112" s="5">
        <f t="shared" si="209"/>
        <v>1.5949999999999998</v>
      </c>
      <c r="AU112" s="5">
        <f t="shared" si="210"/>
        <v>98.405000000000001</v>
      </c>
      <c r="AV112" s="5"/>
      <c r="AW112" s="180">
        <f t="shared" si="211"/>
        <v>1.5949999999999999E-2</v>
      </c>
      <c r="AX112" s="180">
        <f t="shared" si="138"/>
        <v>2.3127499999999999E-2</v>
      </c>
      <c r="AY112" s="180">
        <f t="shared" si="139"/>
        <v>0.28537449999999998</v>
      </c>
      <c r="AZ112" s="180">
        <f t="shared" si="161"/>
        <v>8.1042629947665257E-2</v>
      </c>
      <c r="BD112" s="180">
        <f t="shared" si="162"/>
        <v>2.1145488092419777E-2</v>
      </c>
      <c r="BE112" s="180">
        <f t="shared" si="142"/>
        <v>0.33218188792688064</v>
      </c>
      <c r="BG112" s="547">
        <f t="shared" si="212"/>
        <v>1.5649608333333332E-4</v>
      </c>
      <c r="BH112" s="547">
        <f t="shared" si="213"/>
        <v>6.6989999999999997E-4</v>
      </c>
      <c r="BI112" s="547">
        <f t="shared" si="214"/>
        <v>1.25E-4</v>
      </c>
      <c r="BJ112" s="547">
        <f t="shared" si="215"/>
        <v>3.0682574999999998E-4</v>
      </c>
      <c r="BK112">
        <f t="shared" si="216"/>
        <v>2.8999999999999998E-3</v>
      </c>
      <c r="BL112" s="473">
        <f t="shared" si="217"/>
        <v>4.1582218333333332</v>
      </c>
      <c r="BM112" s="547">
        <f t="shared" si="218"/>
        <v>6.9999999999999999E-4</v>
      </c>
      <c r="BP112" s="473">
        <f t="shared" si="219"/>
        <v>0.7</v>
      </c>
      <c r="BQ112" s="547">
        <f t="shared" si="220"/>
        <v>4.9184483333333326E-5</v>
      </c>
      <c r="BR112" s="547">
        <f t="shared" si="221"/>
        <v>3.8620682333333342E-3</v>
      </c>
      <c r="BS112" s="547">
        <f t="shared" si="222"/>
        <v>7.1608569668720578E-7</v>
      </c>
      <c r="BT112" s="547">
        <f t="shared" si="223"/>
        <v>8.4100000000000006E-4</v>
      </c>
      <c r="BU112" s="473">
        <f t="shared" si="224"/>
        <v>4.7529688023633545</v>
      </c>
      <c r="BV112" s="180">
        <f t="shared" si="225"/>
        <v>9.6111906356966866E-3</v>
      </c>
      <c r="BW112" s="5">
        <f t="shared" si="226"/>
        <v>1.26E-2</v>
      </c>
      <c r="BX112" s="180">
        <f t="shared" si="227"/>
        <v>0.56728161072778893</v>
      </c>
      <c r="BY112" s="5">
        <f t="shared" si="228"/>
        <v>56.728161072778896</v>
      </c>
      <c r="CB112" s="582">
        <f t="shared" si="229"/>
        <v>-50</v>
      </c>
      <c r="CC112">
        <f t="shared" si="230"/>
        <v>-50</v>
      </c>
    </row>
    <row r="113" spans="5:81" x14ac:dyDescent="0.25">
      <c r="E113" s="177">
        <v>3</v>
      </c>
      <c r="F113" s="224">
        <f t="shared" si="231"/>
        <v>3.0000000000000001E-3</v>
      </c>
      <c r="G113" s="224"/>
      <c r="H113" s="224">
        <f t="shared" si="182"/>
        <v>1.89E-2</v>
      </c>
      <c r="I113" s="560">
        <f t="shared" si="183"/>
        <v>10</v>
      </c>
      <c r="J113" s="455">
        <f t="shared" si="184"/>
        <v>13.1</v>
      </c>
      <c r="K113" s="455">
        <f t="shared" si="185"/>
        <v>23.1</v>
      </c>
      <c r="L113" s="455"/>
      <c r="M113" s="224">
        <f t="shared" si="186"/>
        <v>0.5670995670995671</v>
      </c>
      <c r="N113" s="179">
        <f t="shared" si="232"/>
        <v>3.7003246753246755</v>
      </c>
      <c r="O113" s="179">
        <f t="shared" si="156"/>
        <v>1.89E-2</v>
      </c>
      <c r="P113" s="224">
        <f t="shared" si="187"/>
        <v>0.58735312306740883</v>
      </c>
      <c r="Q113" s="224">
        <f t="shared" si="188"/>
        <v>6.3</v>
      </c>
      <c r="R113" s="224"/>
      <c r="S113" s="179">
        <f t="shared" si="189"/>
        <v>2170.0005759703577</v>
      </c>
      <c r="T113" s="179">
        <f t="shared" si="190"/>
        <v>6.3</v>
      </c>
      <c r="U113" s="224">
        <f t="shared" si="191"/>
        <v>7.4061068702290078E-3</v>
      </c>
      <c r="V113" s="224">
        <f t="shared" si="192"/>
        <v>4.0733587786259545E-2</v>
      </c>
      <c r="W113" s="224">
        <f t="shared" si="193"/>
        <v>3.1094341821572176E-2</v>
      </c>
      <c r="X113" s="204">
        <f t="shared" si="194"/>
        <v>350</v>
      </c>
      <c r="Y113" s="455">
        <f t="shared" si="195"/>
        <v>350</v>
      </c>
      <c r="AA113" s="224">
        <f t="shared" si="196"/>
        <v>0.29459717771406085</v>
      </c>
      <c r="AB113" s="180">
        <f t="shared" si="197"/>
        <v>1.2368583797155226</v>
      </c>
      <c r="AC113" s="180">
        <f t="shared" si="198"/>
        <v>0.1275312457636627</v>
      </c>
      <c r="AD113" s="180"/>
      <c r="AE113" s="180">
        <f t="shared" si="199"/>
        <v>1.217557251908397</v>
      </c>
      <c r="AF113" s="564">
        <f t="shared" si="200"/>
        <v>10</v>
      </c>
      <c r="AG113" s="547">
        <f t="shared" si="201"/>
        <v>0.1235820610687023</v>
      </c>
      <c r="AI113" s="180">
        <f t="shared" si="202"/>
        <v>4.5183608106905776E-2</v>
      </c>
      <c r="AJ113" s="180">
        <f t="shared" si="203"/>
        <v>0.28999999999999998</v>
      </c>
      <c r="AK113" s="180">
        <f t="shared" si="204"/>
        <v>1.0057142857142858</v>
      </c>
      <c r="AM113" s="564">
        <f t="shared" si="205"/>
        <v>3</v>
      </c>
      <c r="AN113" s="473">
        <f t="shared" si="206"/>
        <v>10</v>
      </c>
      <c r="AP113" s="473">
        <f t="shared" si="207"/>
        <v>3</v>
      </c>
      <c r="AQ113" s="473">
        <f t="shared" si="208"/>
        <v>10</v>
      </c>
      <c r="AS113" s="5">
        <f t="shared" si="158"/>
        <v>100</v>
      </c>
      <c r="AT113" s="5">
        <f t="shared" si="209"/>
        <v>1.5949999999999998</v>
      </c>
      <c r="AU113" s="5">
        <f t="shared" si="210"/>
        <v>98.405000000000001</v>
      </c>
      <c r="AV113" s="5"/>
      <c r="AW113" s="180">
        <f t="shared" si="211"/>
        <v>1.5949999999999999E-2</v>
      </c>
      <c r="AX113" s="180">
        <f t="shared" si="138"/>
        <v>2.3127499999999999E-2</v>
      </c>
      <c r="AY113" s="180">
        <f t="shared" si="139"/>
        <v>0.28537449999999998</v>
      </c>
      <c r="AZ113" s="180">
        <f t="shared" si="161"/>
        <v>8.1042629947665257E-2</v>
      </c>
      <c r="BD113" s="180">
        <f t="shared" si="162"/>
        <v>2.1145488092419777E-2</v>
      </c>
      <c r="BE113" s="180">
        <f t="shared" si="142"/>
        <v>0.33218188792688064</v>
      </c>
      <c r="BG113" s="547">
        <f t="shared" si="212"/>
        <v>1.5649608333333332E-4</v>
      </c>
      <c r="BH113" s="547">
        <f t="shared" si="213"/>
        <v>6.6989999999999997E-4</v>
      </c>
      <c r="BI113" s="547">
        <f t="shared" si="214"/>
        <v>1.25E-4</v>
      </c>
      <c r="BJ113" s="547">
        <f t="shared" si="215"/>
        <v>3.0682574999999998E-4</v>
      </c>
      <c r="BK113">
        <f t="shared" si="216"/>
        <v>2.8999999999999998E-3</v>
      </c>
      <c r="BL113" s="473">
        <f t="shared" si="217"/>
        <v>4.1582218333333332</v>
      </c>
      <c r="BM113" s="547">
        <f t="shared" si="218"/>
        <v>1.0499999999999999E-3</v>
      </c>
      <c r="BP113" s="473">
        <f t="shared" si="219"/>
        <v>1.05</v>
      </c>
      <c r="BQ113" s="547">
        <f t="shared" si="220"/>
        <v>4.9184483333333326E-5</v>
      </c>
      <c r="BR113" s="547">
        <f t="shared" si="221"/>
        <v>3.8620682333333342E-3</v>
      </c>
      <c r="BS113" s="547">
        <f t="shared" si="222"/>
        <v>7.1608569668720578E-7</v>
      </c>
      <c r="BT113" s="547">
        <f t="shared" si="223"/>
        <v>8.4100000000000006E-4</v>
      </c>
      <c r="BU113" s="473">
        <f t="shared" si="224"/>
        <v>4.7529688023633545</v>
      </c>
      <c r="BV113" s="180">
        <f t="shared" si="225"/>
        <v>9.9611906356966862E-3</v>
      </c>
      <c r="BW113" s="5">
        <f t="shared" si="226"/>
        <v>1.89E-2</v>
      </c>
      <c r="BX113" s="180">
        <f t="shared" si="227"/>
        <v>0.65485863832047586</v>
      </c>
      <c r="BY113" s="5">
        <f t="shared" si="228"/>
        <v>65.485863832047585</v>
      </c>
      <c r="CB113" s="582">
        <f t="shared" si="229"/>
        <v>-50</v>
      </c>
      <c r="CC113">
        <f t="shared" si="230"/>
        <v>-50</v>
      </c>
    </row>
    <row r="114" spans="5:81" x14ac:dyDescent="0.25">
      <c r="E114" s="177">
        <v>4</v>
      </c>
      <c r="F114" s="224">
        <f t="shared" si="231"/>
        <v>4.0000000000000001E-3</v>
      </c>
      <c r="G114" s="224"/>
      <c r="H114" s="224">
        <f t="shared" si="182"/>
        <v>2.52E-2</v>
      </c>
      <c r="I114" s="560">
        <f t="shared" si="183"/>
        <v>10</v>
      </c>
      <c r="J114" s="455">
        <f t="shared" si="184"/>
        <v>13.1</v>
      </c>
      <c r="K114" s="455">
        <f t="shared" si="185"/>
        <v>23.1</v>
      </c>
      <c r="L114" s="455"/>
      <c r="M114" s="224">
        <f t="shared" si="186"/>
        <v>0.5670995670995671</v>
      </c>
      <c r="N114" s="179">
        <f t="shared" si="232"/>
        <v>3.7003246753246755</v>
      </c>
      <c r="O114" s="179">
        <f t="shared" si="156"/>
        <v>2.52E-2</v>
      </c>
      <c r="P114" s="224">
        <f t="shared" si="187"/>
        <v>0.58735312306740883</v>
      </c>
      <c r="Q114" s="224">
        <f t="shared" si="188"/>
        <v>6.3</v>
      </c>
      <c r="R114" s="224"/>
      <c r="S114" s="179">
        <f t="shared" si="189"/>
        <v>1626.2507685210016</v>
      </c>
      <c r="T114" s="179">
        <f t="shared" si="190"/>
        <v>6.3</v>
      </c>
      <c r="U114" s="224">
        <f t="shared" si="191"/>
        <v>9.8748091603053437E-3</v>
      </c>
      <c r="V114" s="224">
        <f t="shared" si="192"/>
        <v>5.4311450381679394E-2</v>
      </c>
      <c r="W114" s="224">
        <f t="shared" si="193"/>
        <v>4.1459122428762894E-2</v>
      </c>
      <c r="X114" s="204">
        <f t="shared" si="194"/>
        <v>350</v>
      </c>
      <c r="Y114" s="455">
        <f t="shared" si="195"/>
        <v>350</v>
      </c>
      <c r="AA114" s="224">
        <f t="shared" si="196"/>
        <v>0.29459717771406085</v>
      </c>
      <c r="AB114" s="180">
        <f t="shared" si="197"/>
        <v>1.2368583797155226</v>
      </c>
      <c r="AC114" s="180">
        <f t="shared" si="198"/>
        <v>0.1275312457636627</v>
      </c>
      <c r="AD114" s="180"/>
      <c r="AE114" s="180">
        <f t="shared" si="199"/>
        <v>1.217557251908397</v>
      </c>
      <c r="AF114" s="564">
        <f t="shared" si="200"/>
        <v>11.328505026483622</v>
      </c>
      <c r="AG114" s="547">
        <f t="shared" si="201"/>
        <v>0.1235820610687023</v>
      </c>
      <c r="AI114" s="180">
        <f t="shared" si="202"/>
        <v>5.217353660696121E-2</v>
      </c>
      <c r="AJ114" s="180">
        <f t="shared" si="203"/>
        <v>0.28999999999999998</v>
      </c>
      <c r="AK114" s="180">
        <f t="shared" si="204"/>
        <v>1.0064734314437049</v>
      </c>
      <c r="AM114" s="564">
        <f t="shared" si="205"/>
        <v>4</v>
      </c>
      <c r="AN114" s="473">
        <f t="shared" si="206"/>
        <v>11.328505026483622</v>
      </c>
      <c r="AP114" s="473">
        <f t="shared" si="207"/>
        <v>4</v>
      </c>
      <c r="AQ114" s="473">
        <f t="shared" si="208"/>
        <v>11.328505026483622</v>
      </c>
      <c r="AS114" s="5">
        <f t="shared" si="158"/>
        <v>88.272900763358791</v>
      </c>
      <c r="AT114" s="5">
        <f t="shared" si="209"/>
        <v>1.5949999999999998</v>
      </c>
      <c r="AU114" s="5">
        <f t="shared" si="210"/>
        <v>86.677900763358792</v>
      </c>
      <c r="AV114" s="5"/>
      <c r="AW114" s="180">
        <f t="shared" si="211"/>
        <v>1.8068965517241374E-2</v>
      </c>
      <c r="AX114" s="180">
        <f t="shared" si="138"/>
        <v>2.6199999999999998E-2</v>
      </c>
      <c r="AY114" s="180">
        <f t="shared" si="139"/>
        <v>0.28476000000000001</v>
      </c>
      <c r="AZ114" s="180">
        <f t="shared" si="161"/>
        <v>9.2007304396684919E-2</v>
      </c>
      <c r="BD114" s="180">
        <f t="shared" si="162"/>
        <v>2.2506295415579462E-2</v>
      </c>
      <c r="BE114" s="180">
        <f t="shared" si="142"/>
        <v>0.33182404976131546</v>
      </c>
      <c r="BG114" s="547">
        <f t="shared" si="212"/>
        <v>1.7728666666666658E-4</v>
      </c>
      <c r="BH114" s="547">
        <f t="shared" si="213"/>
        <v>7.5889655172413785E-4</v>
      </c>
      <c r="BI114" s="547">
        <f t="shared" si="214"/>
        <v>1.4160631283104529E-4</v>
      </c>
      <c r="BJ114" s="547">
        <f t="shared" si="215"/>
        <v>3.475877051129607E-4</v>
      </c>
      <c r="BK114">
        <f t="shared" si="216"/>
        <v>2.8999999999999998E-3</v>
      </c>
      <c r="BL114" s="473">
        <f t="shared" si="217"/>
        <v>4.32537723633481</v>
      </c>
      <c r="BM114" s="547">
        <f t="shared" si="218"/>
        <v>1.4E-3</v>
      </c>
      <c r="BP114" s="473">
        <f t="shared" si="219"/>
        <v>1.4</v>
      </c>
      <c r="BQ114" s="547">
        <f t="shared" si="220"/>
        <v>5.5718666666666645E-5</v>
      </c>
      <c r="BR114" s="547">
        <f t="shared" si="221"/>
        <v>3.8537519999999989E-3</v>
      </c>
      <c r="BS114" s="547">
        <f t="shared" si="222"/>
        <v>9.7812982895634276E-7</v>
      </c>
      <c r="BT114" s="547">
        <f t="shared" si="223"/>
        <v>9.5272727272727273E-4</v>
      </c>
      <c r="BU114" s="473">
        <f t="shared" si="224"/>
        <v>4.8631760692228942</v>
      </c>
      <c r="BV114" s="180">
        <f t="shared" si="225"/>
        <v>1.0588553305557706E-2</v>
      </c>
      <c r="BW114" s="5">
        <f t="shared" si="226"/>
        <v>2.52E-2</v>
      </c>
      <c r="BX114" s="180">
        <f t="shared" si="227"/>
        <v>0.70413575493946057</v>
      </c>
      <c r="BY114" s="5">
        <f t="shared" si="228"/>
        <v>70.413575493946055</v>
      </c>
      <c r="CB114" s="582">
        <f t="shared" si="229"/>
        <v>-50</v>
      </c>
      <c r="CC114">
        <f t="shared" si="230"/>
        <v>-50</v>
      </c>
    </row>
    <row r="115" spans="5:81" x14ac:dyDescent="0.25">
      <c r="E115" s="177">
        <v>5</v>
      </c>
      <c r="F115" s="224">
        <f t="shared" si="231"/>
        <v>5.000000000000001E-3</v>
      </c>
      <c r="G115" s="224"/>
      <c r="H115" s="224">
        <f t="shared" si="182"/>
        <v>3.1500000000000007E-2</v>
      </c>
      <c r="I115" s="560">
        <f t="shared" si="183"/>
        <v>10</v>
      </c>
      <c r="J115" s="455">
        <f t="shared" si="184"/>
        <v>13.1</v>
      </c>
      <c r="K115" s="455">
        <f t="shared" si="185"/>
        <v>23.1</v>
      </c>
      <c r="L115" s="455"/>
      <c r="M115" s="224">
        <f t="shared" si="186"/>
        <v>0.5670995670995671</v>
      </c>
      <c r="N115" s="179">
        <f t="shared" si="232"/>
        <v>3.7003246753246755</v>
      </c>
      <c r="O115" s="179">
        <f t="shared" si="156"/>
        <v>3.1500000000000007E-2</v>
      </c>
      <c r="P115" s="224">
        <f t="shared" si="187"/>
        <v>0.58735312306740883</v>
      </c>
      <c r="Q115" s="224">
        <f t="shared" si="188"/>
        <v>6.3</v>
      </c>
      <c r="R115" s="224"/>
      <c r="S115" s="179">
        <f t="shared" si="189"/>
        <v>1300.0009613528746</v>
      </c>
      <c r="T115" s="179">
        <f t="shared" si="190"/>
        <v>6.3</v>
      </c>
      <c r="U115" s="224">
        <f t="shared" si="191"/>
        <v>1.2343511450381681E-2</v>
      </c>
      <c r="V115" s="224">
        <f t="shared" si="192"/>
        <v>6.7889312977099256E-2</v>
      </c>
      <c r="W115" s="224">
        <f t="shared" si="193"/>
        <v>5.1823903035953633E-2</v>
      </c>
      <c r="X115" s="204">
        <f t="shared" si="194"/>
        <v>350</v>
      </c>
      <c r="Y115" s="455">
        <f t="shared" si="195"/>
        <v>350</v>
      </c>
      <c r="AA115" s="224">
        <f t="shared" si="196"/>
        <v>0.29459717771406085</v>
      </c>
      <c r="AB115" s="180">
        <f t="shared" si="197"/>
        <v>1.2368583797155226</v>
      </c>
      <c r="AC115" s="180">
        <f t="shared" si="198"/>
        <v>0.1275312457636627</v>
      </c>
      <c r="AD115" s="180"/>
      <c r="AE115" s="180">
        <f t="shared" si="199"/>
        <v>1.217557251908397</v>
      </c>
      <c r="AF115" s="564">
        <f t="shared" si="200"/>
        <v>14.16063128310453</v>
      </c>
      <c r="AG115" s="547">
        <f t="shared" si="201"/>
        <v>0.1235820610687023</v>
      </c>
      <c r="AI115" s="180">
        <f t="shared" si="202"/>
        <v>5.8331787239869502E-2</v>
      </c>
      <c r="AJ115" s="180">
        <f t="shared" si="203"/>
        <v>0.28999999999999998</v>
      </c>
      <c r="AK115" s="180">
        <f t="shared" si="204"/>
        <v>1.0080917893046311</v>
      </c>
      <c r="AM115" s="564">
        <f t="shared" si="205"/>
        <v>5.0000000000000009</v>
      </c>
      <c r="AN115" s="473">
        <f t="shared" si="206"/>
        <v>14.16063128310453</v>
      </c>
      <c r="AP115" s="473">
        <f t="shared" si="207"/>
        <v>5.0000000000000009</v>
      </c>
      <c r="AQ115" s="473">
        <f t="shared" si="208"/>
        <v>14.16063128310453</v>
      </c>
      <c r="AS115" s="5">
        <f t="shared" si="158"/>
        <v>70.618320610687007</v>
      </c>
      <c r="AT115" s="5">
        <f t="shared" si="209"/>
        <v>1.5949999999999998</v>
      </c>
      <c r="AU115" s="5">
        <f t="shared" si="210"/>
        <v>69.023320610687009</v>
      </c>
      <c r="AV115" s="5"/>
      <c r="AW115" s="180">
        <f t="shared" si="211"/>
        <v>2.2586206896551726E-2</v>
      </c>
      <c r="AX115" s="180">
        <f t="shared" si="138"/>
        <v>3.2750000000000001E-2</v>
      </c>
      <c r="AY115" s="180">
        <f t="shared" si="139"/>
        <v>0.28344999999999998</v>
      </c>
      <c r="AZ115" s="180">
        <f t="shared" si="161"/>
        <v>0.11554065972834716</v>
      </c>
      <c r="BD115" s="180">
        <f t="shared" si="162"/>
        <v>2.5162803235463781E-2</v>
      </c>
      <c r="BE115" s="180">
        <f t="shared" si="142"/>
        <v>0.33105991401356138</v>
      </c>
      <c r="BG115" s="547">
        <f t="shared" si="212"/>
        <v>2.2160833333333328E-4</v>
      </c>
      <c r="BH115" s="547">
        <f t="shared" si="213"/>
        <v>9.4862068965517244E-4</v>
      </c>
      <c r="BI115" s="547">
        <f t="shared" si="214"/>
        <v>1.7700789103880662E-4</v>
      </c>
      <c r="BJ115" s="547">
        <f t="shared" si="215"/>
        <v>4.34484631391201E-4</v>
      </c>
      <c r="BK115">
        <f t="shared" si="216"/>
        <v>2.8999999999999998E-3</v>
      </c>
      <c r="BL115" s="473">
        <f t="shared" si="217"/>
        <v>4.6817215454185135</v>
      </c>
      <c r="BM115" s="547">
        <f t="shared" si="218"/>
        <v>1.7500000000000003E-3</v>
      </c>
      <c r="BP115" s="473">
        <f t="shared" si="219"/>
        <v>1.7500000000000002</v>
      </c>
      <c r="BQ115" s="547">
        <f t="shared" si="220"/>
        <v>6.9648333333333315E-5</v>
      </c>
      <c r="BR115" s="547">
        <f t="shared" si="221"/>
        <v>3.8360233333333332E-3</v>
      </c>
      <c r="BS115" s="547">
        <f t="shared" si="222"/>
        <v>1.7087224909114258E-6</v>
      </c>
      <c r="BT115" s="547">
        <f t="shared" si="223"/>
        <v>1.190909090909091E-3</v>
      </c>
      <c r="BU115" s="473">
        <f t="shared" si="224"/>
        <v>5.0982894800666694</v>
      </c>
      <c r="BV115" s="180">
        <f t="shared" si="225"/>
        <v>1.1530011025485183E-2</v>
      </c>
      <c r="BW115" s="5">
        <f t="shared" si="226"/>
        <v>3.1500000000000007E-2</v>
      </c>
      <c r="BX115" s="180">
        <f t="shared" si="227"/>
        <v>0.73204722121366983</v>
      </c>
      <c r="BY115" s="5">
        <f t="shared" si="228"/>
        <v>73.204722121366984</v>
      </c>
      <c r="CB115" s="582">
        <f t="shared" si="229"/>
        <v>-50</v>
      </c>
      <c r="CC115">
        <f t="shared" si="230"/>
        <v>-50</v>
      </c>
    </row>
    <row r="116" spans="5:81" x14ac:dyDescent="0.25">
      <c r="E116" s="177">
        <v>6</v>
      </c>
      <c r="F116" s="224">
        <f t="shared" si="231"/>
        <v>6.0000000000000001E-3</v>
      </c>
      <c r="G116" s="224"/>
      <c r="H116" s="224">
        <f t="shared" si="182"/>
        <v>3.78E-2</v>
      </c>
      <c r="I116" s="560">
        <f t="shared" si="183"/>
        <v>10</v>
      </c>
      <c r="J116" s="455">
        <f t="shared" si="184"/>
        <v>13.1</v>
      </c>
      <c r="K116" s="455">
        <f t="shared" si="185"/>
        <v>23.1</v>
      </c>
      <c r="L116" s="455"/>
      <c r="M116" s="224">
        <f t="shared" si="186"/>
        <v>0.5670995670995671</v>
      </c>
      <c r="N116" s="179">
        <f t="shared" si="232"/>
        <v>3.7003246753246755</v>
      </c>
      <c r="O116" s="179">
        <f t="shared" si="156"/>
        <v>3.78E-2</v>
      </c>
      <c r="P116" s="224">
        <f t="shared" si="187"/>
        <v>0.58735312306740883</v>
      </c>
      <c r="Q116" s="224">
        <f t="shared" si="188"/>
        <v>6.3</v>
      </c>
      <c r="R116" s="224"/>
      <c r="S116" s="179">
        <f t="shared" si="189"/>
        <v>1082.5011544665595</v>
      </c>
      <c r="T116" s="179">
        <f t="shared" si="190"/>
        <v>6.3</v>
      </c>
      <c r="U116" s="224">
        <f t="shared" si="191"/>
        <v>1.4812213740458016E-2</v>
      </c>
      <c r="V116" s="224">
        <f t="shared" si="192"/>
        <v>8.146717557251909E-2</v>
      </c>
      <c r="W116" s="224">
        <f t="shared" si="193"/>
        <v>6.2188683643144352E-2</v>
      </c>
      <c r="X116" s="204">
        <f t="shared" si="194"/>
        <v>350</v>
      </c>
      <c r="Y116" s="455">
        <f t="shared" si="195"/>
        <v>350</v>
      </c>
      <c r="AA116" s="224">
        <f t="shared" si="196"/>
        <v>0.29459717771406085</v>
      </c>
      <c r="AB116" s="180">
        <f t="shared" si="197"/>
        <v>1.2368583797155226</v>
      </c>
      <c r="AC116" s="180">
        <f t="shared" si="198"/>
        <v>0.1275312457636627</v>
      </c>
      <c r="AD116" s="180"/>
      <c r="AE116" s="180">
        <f t="shared" si="199"/>
        <v>1.217557251908397</v>
      </c>
      <c r="AF116" s="564">
        <f t="shared" si="200"/>
        <v>16.992757539725432</v>
      </c>
      <c r="AG116" s="547">
        <f t="shared" si="201"/>
        <v>0.1235820610687023</v>
      </c>
      <c r="AI116" s="180">
        <f t="shared" si="202"/>
        <v>6.389927138173708E-2</v>
      </c>
      <c r="AJ116" s="180">
        <f t="shared" si="203"/>
        <v>0.28999999999999998</v>
      </c>
      <c r="AK116" s="180">
        <f t="shared" si="204"/>
        <v>1.0097101471655574</v>
      </c>
      <c r="AM116" s="564">
        <f t="shared" si="205"/>
        <v>6</v>
      </c>
      <c r="AN116" s="473">
        <f t="shared" si="206"/>
        <v>16.992757539725432</v>
      </c>
      <c r="AP116" s="473">
        <f t="shared" si="207"/>
        <v>6</v>
      </c>
      <c r="AQ116" s="473">
        <f t="shared" si="208"/>
        <v>16.992757539725432</v>
      </c>
      <c r="AS116" s="5">
        <f t="shared" si="158"/>
        <v>58.848600508905861</v>
      </c>
      <c r="AT116" s="5">
        <f t="shared" si="209"/>
        <v>1.5949999999999998</v>
      </c>
      <c r="AU116" s="5">
        <f t="shared" si="210"/>
        <v>57.253600508905862</v>
      </c>
      <c r="AV116" s="5"/>
      <c r="AW116" s="180">
        <f t="shared" si="211"/>
        <v>2.7103448275862061E-2</v>
      </c>
      <c r="AX116" s="180">
        <f t="shared" si="138"/>
        <v>3.9299999999999995E-2</v>
      </c>
      <c r="AY116" s="180">
        <f t="shared" si="139"/>
        <v>0.28214</v>
      </c>
      <c r="AZ116" s="180">
        <f t="shared" si="161"/>
        <v>0.13929254979797262</v>
      </c>
      <c r="BD116" s="180">
        <f t="shared" si="162"/>
        <v>2.7564469884254979E-2</v>
      </c>
      <c r="BE116" s="180">
        <f t="shared" si="142"/>
        <v>0.33029401044120271</v>
      </c>
      <c r="BG116" s="547">
        <f t="shared" si="212"/>
        <v>2.6592999999999989E-4</v>
      </c>
      <c r="BH116" s="547">
        <f t="shared" si="213"/>
        <v>1.1383448275862067E-3</v>
      </c>
      <c r="BI116" s="547">
        <f t="shared" si="214"/>
        <v>2.1240946924656789E-4</v>
      </c>
      <c r="BJ116" s="547">
        <f t="shared" si="215"/>
        <v>5.2138155766944091E-4</v>
      </c>
      <c r="BK116">
        <f t="shared" si="216"/>
        <v>2.8999999999999998E-3</v>
      </c>
      <c r="BL116" s="473">
        <f t="shared" si="217"/>
        <v>5.0380658545022152</v>
      </c>
      <c r="BM116" s="547">
        <f t="shared" si="218"/>
        <v>2.0999999999999999E-3</v>
      </c>
      <c r="BP116" s="473">
        <f t="shared" si="219"/>
        <v>2.1</v>
      </c>
      <c r="BQ116" s="547">
        <f t="shared" si="220"/>
        <v>8.3577999999999964E-5</v>
      </c>
      <c r="BR116" s="547">
        <f t="shared" si="221"/>
        <v>3.818294666666667E-3</v>
      </c>
      <c r="BS116" s="547">
        <f t="shared" si="222"/>
        <v>2.6954088560311793E-6</v>
      </c>
      <c r="BT116" s="547">
        <f t="shared" si="223"/>
        <v>1.4290909090909087E-3</v>
      </c>
      <c r="BU116" s="473">
        <f t="shared" si="224"/>
        <v>5.3336589846136064</v>
      </c>
      <c r="BV116" s="180">
        <f t="shared" si="225"/>
        <v>1.2471724839115822E-2</v>
      </c>
      <c r="BW116" s="5">
        <f t="shared" si="226"/>
        <v>3.78E-2</v>
      </c>
      <c r="BX116" s="180">
        <f t="shared" si="227"/>
        <v>0.7519137272685793</v>
      </c>
      <c r="BY116" s="5">
        <f t="shared" si="228"/>
        <v>75.191372726857935</v>
      </c>
      <c r="CB116" s="582">
        <f t="shared" si="229"/>
        <v>-50</v>
      </c>
      <c r="CC116">
        <f t="shared" si="230"/>
        <v>-50</v>
      </c>
    </row>
    <row r="117" spans="5:81" x14ac:dyDescent="0.25">
      <c r="E117" s="177">
        <v>7</v>
      </c>
      <c r="F117" s="224">
        <f t="shared" si="231"/>
        <v>7.000000000000001E-3</v>
      </c>
      <c r="G117" s="224"/>
      <c r="H117" s="224">
        <f t="shared" si="182"/>
        <v>4.4100000000000007E-2</v>
      </c>
      <c r="I117" s="560">
        <f t="shared" si="183"/>
        <v>10</v>
      </c>
      <c r="J117" s="455">
        <f t="shared" si="184"/>
        <v>13.1</v>
      </c>
      <c r="K117" s="455">
        <f t="shared" si="185"/>
        <v>23.1</v>
      </c>
      <c r="L117" s="455"/>
      <c r="M117" s="224">
        <f t="shared" si="186"/>
        <v>0.5670995670995671</v>
      </c>
      <c r="N117" s="179">
        <f t="shared" si="232"/>
        <v>3.7003246753246755</v>
      </c>
      <c r="O117" s="179">
        <f t="shared" si="156"/>
        <v>4.4100000000000007E-2</v>
      </c>
      <c r="P117" s="224">
        <f t="shared" si="187"/>
        <v>0.58735312306740883</v>
      </c>
      <c r="Q117" s="224">
        <f t="shared" si="188"/>
        <v>6.3</v>
      </c>
      <c r="R117" s="224"/>
      <c r="S117" s="179">
        <f t="shared" si="189"/>
        <v>927.14420500549534</v>
      </c>
      <c r="T117" s="179">
        <f t="shared" si="190"/>
        <v>6.3</v>
      </c>
      <c r="U117" s="224">
        <f t="shared" si="191"/>
        <v>1.7280916030534353E-2</v>
      </c>
      <c r="V117" s="224">
        <f t="shared" si="192"/>
        <v>9.5045038167938953E-2</v>
      </c>
      <c r="W117" s="224">
        <f t="shared" si="193"/>
        <v>7.255346425033507E-2</v>
      </c>
      <c r="X117" s="204">
        <f t="shared" si="194"/>
        <v>350</v>
      </c>
      <c r="Y117" s="455">
        <f t="shared" si="195"/>
        <v>350</v>
      </c>
      <c r="AA117" s="224">
        <f t="shared" si="196"/>
        <v>0.29459717771406085</v>
      </c>
      <c r="AB117" s="180">
        <f t="shared" si="197"/>
        <v>1.2368583797155226</v>
      </c>
      <c r="AC117" s="180">
        <f t="shared" si="198"/>
        <v>0.1275312457636627</v>
      </c>
      <c r="AD117" s="180"/>
      <c r="AE117" s="180">
        <f t="shared" si="199"/>
        <v>1.217557251908397</v>
      </c>
      <c r="AF117" s="564">
        <f t="shared" si="200"/>
        <v>19.824883796346342</v>
      </c>
      <c r="AG117" s="547">
        <f t="shared" si="201"/>
        <v>0.1235820610687023</v>
      </c>
      <c r="AI117" s="180">
        <f t="shared" si="202"/>
        <v>6.901910144037203E-2</v>
      </c>
      <c r="AJ117" s="180">
        <f t="shared" si="203"/>
        <v>0.28999999999999998</v>
      </c>
      <c r="AK117" s="180">
        <f t="shared" si="204"/>
        <v>1.0113285050264835</v>
      </c>
      <c r="AM117" s="564">
        <f t="shared" si="205"/>
        <v>7.0000000000000009</v>
      </c>
      <c r="AN117" s="473">
        <f t="shared" si="206"/>
        <v>19.824883796346342</v>
      </c>
      <c r="AP117" s="473">
        <f t="shared" si="207"/>
        <v>7.0000000000000009</v>
      </c>
      <c r="AQ117" s="473">
        <f t="shared" si="208"/>
        <v>19.824883796346342</v>
      </c>
      <c r="AS117" s="5">
        <f t="shared" si="158"/>
        <v>50.441657579062159</v>
      </c>
      <c r="AT117" s="5">
        <f t="shared" si="209"/>
        <v>1.5949999999999998</v>
      </c>
      <c r="AU117" s="5">
        <f t="shared" si="210"/>
        <v>48.84665757906216</v>
      </c>
      <c r="AV117" s="5"/>
      <c r="AW117" s="180">
        <f t="shared" si="211"/>
        <v>3.162068965517241E-2</v>
      </c>
      <c r="AX117" s="180">
        <f t="shared" si="138"/>
        <v>4.5850000000000002E-2</v>
      </c>
      <c r="AY117" s="180">
        <f t="shared" si="139"/>
        <v>0.28082999999999997</v>
      </c>
      <c r="AZ117" s="180">
        <f t="shared" si="161"/>
        <v>0.16326603283125024</v>
      </c>
      <c r="BD117" s="180">
        <f t="shared" si="162"/>
        <v>2.9773030301488174E-2</v>
      </c>
      <c r="BE117" s="180">
        <f t="shared" si="142"/>
        <v>0.3295263267176084</v>
      </c>
      <c r="BG117" s="547">
        <f t="shared" si="212"/>
        <v>3.1025166666666653E-4</v>
      </c>
      <c r="BH117" s="547">
        <f t="shared" si="213"/>
        <v>1.3280689655172414E-3</v>
      </c>
      <c r="BI117" s="547">
        <f t="shared" si="214"/>
        <v>2.4781104745432922E-4</v>
      </c>
      <c r="BJ117" s="547">
        <f t="shared" si="215"/>
        <v>6.0827848394768127E-4</v>
      </c>
      <c r="BK117">
        <f t="shared" si="216"/>
        <v>2.8999999999999998E-3</v>
      </c>
      <c r="BL117" s="473">
        <f t="shared" si="217"/>
        <v>5.3944101635859179</v>
      </c>
      <c r="BM117" s="547">
        <f t="shared" si="218"/>
        <v>2.4500000000000004E-3</v>
      </c>
      <c r="BP117" s="473">
        <f t="shared" si="219"/>
        <v>2.4500000000000002</v>
      </c>
      <c r="BQ117" s="547">
        <f t="shared" si="220"/>
        <v>9.7507666666666628E-5</v>
      </c>
      <c r="BR117" s="547">
        <f t="shared" si="221"/>
        <v>3.800566E-3</v>
      </c>
      <c r="BS117" s="547">
        <f t="shared" si="222"/>
        <v>3.9627039246962133E-6</v>
      </c>
      <c r="BT117" s="547">
        <f t="shared" si="223"/>
        <v>1.6672727272727275E-3</v>
      </c>
      <c r="BU117" s="473">
        <f t="shared" si="224"/>
        <v>5.5693090978640898</v>
      </c>
      <c r="BV117" s="180">
        <f t="shared" si="225"/>
        <v>1.3413719261450009E-2</v>
      </c>
      <c r="BW117" s="5">
        <f t="shared" si="226"/>
        <v>4.4100000000000007E-2</v>
      </c>
      <c r="BX117" s="180">
        <f t="shared" si="227"/>
        <v>0.76677357274578339</v>
      </c>
      <c r="BY117" s="5">
        <f t="shared" si="228"/>
        <v>76.677357274578341</v>
      </c>
      <c r="CB117" s="582">
        <f t="shared" si="229"/>
        <v>-50</v>
      </c>
      <c r="CC117">
        <f t="shared" si="230"/>
        <v>-50</v>
      </c>
    </row>
    <row r="118" spans="5:81" x14ac:dyDescent="0.25">
      <c r="E118" s="177">
        <v>8</v>
      </c>
      <c r="F118" s="224">
        <f t="shared" si="231"/>
        <v>8.0000000000000002E-3</v>
      </c>
      <c r="G118" s="224"/>
      <c r="H118" s="224">
        <f t="shared" si="182"/>
        <v>5.04E-2</v>
      </c>
      <c r="I118" s="560">
        <f t="shared" si="183"/>
        <v>10</v>
      </c>
      <c r="J118" s="455">
        <f t="shared" si="184"/>
        <v>13.1</v>
      </c>
      <c r="K118" s="455">
        <f t="shared" si="185"/>
        <v>23.1</v>
      </c>
      <c r="L118" s="455"/>
      <c r="M118" s="224">
        <f t="shared" si="186"/>
        <v>0.5670995670995671</v>
      </c>
      <c r="N118" s="179">
        <f t="shared" si="232"/>
        <v>3.7003246753246755</v>
      </c>
      <c r="O118" s="179">
        <f t="shared" si="156"/>
        <v>5.04E-2</v>
      </c>
      <c r="P118" s="224">
        <f t="shared" si="187"/>
        <v>0.58735312306740883</v>
      </c>
      <c r="Q118" s="224">
        <f t="shared" si="188"/>
        <v>6.3</v>
      </c>
      <c r="R118" s="224"/>
      <c r="S118" s="179">
        <f t="shared" si="189"/>
        <v>810.62654154169707</v>
      </c>
      <c r="T118" s="179">
        <f t="shared" si="190"/>
        <v>6.3</v>
      </c>
      <c r="U118" s="224">
        <f t="shared" si="191"/>
        <v>1.9749618320610687E-2</v>
      </c>
      <c r="V118" s="224">
        <f t="shared" si="192"/>
        <v>0.10862290076335879</v>
      </c>
      <c r="W118" s="224">
        <f t="shared" si="193"/>
        <v>8.2918244857525789E-2</v>
      </c>
      <c r="X118" s="204">
        <f t="shared" si="194"/>
        <v>350</v>
      </c>
      <c r="Y118" s="455">
        <f t="shared" si="195"/>
        <v>350</v>
      </c>
      <c r="AA118" s="224">
        <f t="shared" si="196"/>
        <v>0.29459717771406085</v>
      </c>
      <c r="AB118" s="180">
        <f t="shared" si="197"/>
        <v>1.2368583797155226</v>
      </c>
      <c r="AC118" s="180">
        <f t="shared" si="198"/>
        <v>0.1275312457636627</v>
      </c>
      <c r="AD118" s="180"/>
      <c r="AE118" s="180">
        <f t="shared" si="199"/>
        <v>1.217557251908397</v>
      </c>
      <c r="AF118" s="564">
        <f t="shared" si="200"/>
        <v>22.657010052967244</v>
      </c>
      <c r="AG118" s="547">
        <f t="shared" si="201"/>
        <v>0.1235820610687023</v>
      </c>
      <c r="AI118" s="180">
        <f t="shared" si="202"/>
        <v>7.37845230665337E-2</v>
      </c>
      <c r="AJ118" s="180">
        <f t="shared" si="203"/>
        <v>0.28999999999999998</v>
      </c>
      <c r="AK118" s="180">
        <f t="shared" si="204"/>
        <v>1.0129468628874099</v>
      </c>
      <c r="AM118" s="564">
        <f t="shared" si="205"/>
        <v>8</v>
      </c>
      <c r="AN118" s="473">
        <f t="shared" si="206"/>
        <v>22.657010052967244</v>
      </c>
      <c r="AP118" s="473">
        <f t="shared" si="207"/>
        <v>8</v>
      </c>
      <c r="AQ118" s="473">
        <f t="shared" si="208"/>
        <v>22.657010052967244</v>
      </c>
      <c r="AS118" s="5">
        <f t="shared" si="158"/>
        <v>44.136450381679396</v>
      </c>
      <c r="AT118" s="5">
        <f t="shared" si="209"/>
        <v>1.5949999999999998</v>
      </c>
      <c r="AU118" s="5">
        <f t="shared" si="210"/>
        <v>42.541450381679397</v>
      </c>
      <c r="AV118" s="5"/>
      <c r="AW118" s="180">
        <f t="shared" si="211"/>
        <v>3.6137931034482748E-2</v>
      </c>
      <c r="AX118" s="180">
        <f t="shared" si="138"/>
        <v>5.2399999999999995E-2</v>
      </c>
      <c r="AY118" s="180">
        <f t="shared" si="139"/>
        <v>0.27951999999999999</v>
      </c>
      <c r="AZ118" s="180">
        <f t="shared" si="161"/>
        <v>0.1874642243846594</v>
      </c>
      <c r="BD118" s="180">
        <f t="shared" si="162"/>
        <v>3.1828708215487889E-2</v>
      </c>
      <c r="BE118" s="180">
        <f t="shared" si="142"/>
        <v>0.32875685037222674</v>
      </c>
      <c r="BG118" s="547">
        <f t="shared" si="212"/>
        <v>3.5457333333333317E-4</v>
      </c>
      <c r="BH118" s="547">
        <f t="shared" si="213"/>
        <v>1.5177931034482757E-3</v>
      </c>
      <c r="BI118" s="547">
        <f t="shared" si="214"/>
        <v>2.8321262566209058E-4</v>
      </c>
      <c r="BJ118" s="547">
        <f t="shared" si="215"/>
        <v>6.951754102259214E-4</v>
      </c>
      <c r="BK118">
        <f t="shared" si="216"/>
        <v>2.8999999999999998E-3</v>
      </c>
      <c r="BL118" s="473">
        <f t="shared" si="217"/>
        <v>5.7507544726696205</v>
      </c>
      <c r="BM118" s="547">
        <f t="shared" si="218"/>
        <v>2.8E-3</v>
      </c>
      <c r="BP118" s="473">
        <f t="shared" si="219"/>
        <v>2.8</v>
      </c>
      <c r="BQ118" s="547">
        <f t="shared" si="220"/>
        <v>1.1143733333333329E-4</v>
      </c>
      <c r="BR118" s="547">
        <f t="shared" si="221"/>
        <v>3.7828373333333343E-3</v>
      </c>
      <c r="BS118" s="547">
        <f t="shared" si="222"/>
        <v>5.5331378794869477E-6</v>
      </c>
      <c r="BT118" s="547">
        <f t="shared" si="223"/>
        <v>1.9054545454545455E-3</v>
      </c>
      <c r="BU118" s="473">
        <f t="shared" si="224"/>
        <v>5.8052623500006995</v>
      </c>
      <c r="BV118" s="180">
        <f t="shared" si="225"/>
        <v>1.4356016822670322E-2</v>
      </c>
      <c r="BW118" s="5">
        <f t="shared" si="226"/>
        <v>5.04E-2</v>
      </c>
      <c r="BX118" s="180">
        <f t="shared" si="227"/>
        <v>0.7783060551425941</v>
      </c>
      <c r="BY118" s="5">
        <f t="shared" si="228"/>
        <v>77.830605514259403</v>
      </c>
      <c r="CB118" s="582">
        <f t="shared" si="229"/>
        <v>-50</v>
      </c>
      <c r="CC118">
        <f t="shared" si="230"/>
        <v>-50</v>
      </c>
    </row>
    <row r="119" spans="5:81" x14ac:dyDescent="0.25">
      <c r="E119" s="177">
        <v>9</v>
      </c>
      <c r="F119" s="224">
        <f t="shared" si="231"/>
        <v>8.9999999999999993E-3</v>
      </c>
      <c r="G119" s="224"/>
      <c r="H119" s="224">
        <f t="shared" si="182"/>
        <v>5.6699999999999993E-2</v>
      </c>
      <c r="I119" s="560">
        <f t="shared" si="183"/>
        <v>10</v>
      </c>
      <c r="J119" s="455">
        <f t="shared" si="184"/>
        <v>13.1</v>
      </c>
      <c r="K119" s="455">
        <f t="shared" si="185"/>
        <v>23.1</v>
      </c>
      <c r="L119" s="455"/>
      <c r="M119" s="224">
        <f t="shared" si="186"/>
        <v>0.5670995670995671</v>
      </c>
      <c r="N119" s="179">
        <f t="shared" si="232"/>
        <v>3.7003246753246755</v>
      </c>
      <c r="O119" s="179">
        <f t="shared" si="156"/>
        <v>5.6699999999999993E-2</v>
      </c>
      <c r="P119" s="224">
        <f t="shared" si="187"/>
        <v>0.58735312306740883</v>
      </c>
      <c r="Q119" s="224">
        <f t="shared" si="188"/>
        <v>6.3</v>
      </c>
      <c r="R119" s="224"/>
      <c r="S119" s="179">
        <f t="shared" si="189"/>
        <v>720.00173550432226</v>
      </c>
      <c r="T119" s="179">
        <f t="shared" si="190"/>
        <v>6.3</v>
      </c>
      <c r="U119" s="224">
        <f t="shared" si="191"/>
        <v>2.2218320610687022E-2</v>
      </c>
      <c r="V119" s="224">
        <f t="shared" si="192"/>
        <v>0.12220076335877864</v>
      </c>
      <c r="W119" s="224">
        <f t="shared" si="193"/>
        <v>9.3283025464716507E-2</v>
      </c>
      <c r="X119" s="204">
        <f t="shared" si="194"/>
        <v>350</v>
      </c>
      <c r="Y119" s="455">
        <f t="shared" si="195"/>
        <v>350</v>
      </c>
      <c r="AA119" s="224">
        <f t="shared" si="196"/>
        <v>0.29459717771406085</v>
      </c>
      <c r="AB119" s="180">
        <f t="shared" si="197"/>
        <v>1.2368583797155226</v>
      </c>
      <c r="AC119" s="180">
        <f t="shared" si="198"/>
        <v>0.1275312457636627</v>
      </c>
      <c r="AD119" s="180"/>
      <c r="AE119" s="180">
        <f t="shared" si="199"/>
        <v>1.217557251908397</v>
      </c>
      <c r="AF119" s="564">
        <f t="shared" si="200"/>
        <v>25.489136309588147</v>
      </c>
      <c r="AG119" s="547">
        <f t="shared" si="201"/>
        <v>0.1235820610687023</v>
      </c>
      <c r="AI119" s="180">
        <f t="shared" si="202"/>
        <v>7.8260304910441822E-2</v>
      </c>
      <c r="AJ119" s="180">
        <f t="shared" si="203"/>
        <v>0.28999999999999998</v>
      </c>
      <c r="AK119" s="180">
        <f t="shared" si="204"/>
        <v>1.014565220748336</v>
      </c>
      <c r="AM119" s="564">
        <f t="shared" si="205"/>
        <v>9</v>
      </c>
      <c r="AN119" s="473">
        <f t="shared" si="206"/>
        <v>25.489136309588147</v>
      </c>
      <c r="AP119" s="473">
        <f t="shared" si="207"/>
        <v>9</v>
      </c>
      <c r="AQ119" s="473">
        <f t="shared" si="208"/>
        <v>25.489136309588147</v>
      </c>
      <c r="AS119" s="5">
        <f t="shared" si="158"/>
        <v>39.232400339270576</v>
      </c>
      <c r="AT119" s="5">
        <f t="shared" si="209"/>
        <v>1.5949999999999998</v>
      </c>
      <c r="AU119" s="5">
        <f t="shared" si="210"/>
        <v>37.637400339270577</v>
      </c>
      <c r="AV119" s="5"/>
      <c r="AW119" s="180">
        <f t="shared" si="211"/>
        <v>4.0655172413793086E-2</v>
      </c>
      <c r="AX119" s="180">
        <f t="shared" si="138"/>
        <v>5.8949999999999989E-2</v>
      </c>
      <c r="AY119" s="180">
        <f t="shared" si="139"/>
        <v>0.27820999999999996</v>
      </c>
      <c r="AZ119" s="180">
        <f t="shared" si="161"/>
        <v>0.21189029869523021</v>
      </c>
      <c r="BD119" s="180">
        <f t="shared" si="162"/>
        <v>3.375944312336919E-2</v>
      </c>
      <c r="BE119" s="180">
        <f t="shared" si="142"/>
        <v>0.32798556878822172</v>
      </c>
      <c r="BG119" s="547">
        <f t="shared" si="212"/>
        <v>3.9889499999999975E-4</v>
      </c>
      <c r="BH119" s="547">
        <f t="shared" si="213"/>
        <v>1.7075172413793102E-3</v>
      </c>
      <c r="BI119" s="547">
        <f t="shared" si="214"/>
        <v>3.1861420386985182E-4</v>
      </c>
      <c r="BJ119" s="547">
        <f t="shared" si="215"/>
        <v>7.8207233650416143E-4</v>
      </c>
      <c r="BK119">
        <f t="shared" si="216"/>
        <v>2.8999999999999998E-3</v>
      </c>
      <c r="BL119" s="473">
        <f t="shared" si="217"/>
        <v>6.1070987817533231</v>
      </c>
      <c r="BM119" s="547">
        <f t="shared" si="218"/>
        <v>3.1499999999999996E-3</v>
      </c>
      <c r="BP119" s="473">
        <f t="shared" si="219"/>
        <v>3.1499999999999995</v>
      </c>
      <c r="BQ119" s="547">
        <f t="shared" si="220"/>
        <v>1.2536699999999993E-4</v>
      </c>
      <c r="BR119" s="547">
        <f t="shared" si="221"/>
        <v>3.7651086666666664E-3</v>
      </c>
      <c r="BS119" s="547">
        <f t="shared" si="222"/>
        <v>7.4276733886372285E-6</v>
      </c>
      <c r="BT119" s="547">
        <f t="shared" si="223"/>
        <v>2.1436363636363632E-3</v>
      </c>
      <c r="BU119" s="473">
        <f t="shared" si="224"/>
        <v>6.0415397036916669</v>
      </c>
      <c r="BV119" s="180">
        <f t="shared" si="225"/>
        <v>1.5298638485444988E-2</v>
      </c>
      <c r="BW119" s="5">
        <f t="shared" si="226"/>
        <v>5.6699999999999993E-2</v>
      </c>
      <c r="BX119" s="180">
        <f t="shared" si="227"/>
        <v>0.78751489184704915</v>
      </c>
      <c r="BY119" s="5">
        <f t="shared" si="228"/>
        <v>78.751489184704909</v>
      </c>
      <c r="CB119" s="582">
        <f t="shared" si="229"/>
        <v>-50</v>
      </c>
      <c r="CC119">
        <f t="shared" si="230"/>
        <v>-50</v>
      </c>
    </row>
    <row r="120" spans="5:81" x14ac:dyDescent="0.25">
      <c r="E120" s="177">
        <v>10</v>
      </c>
      <c r="F120" s="224">
        <f t="shared" si="231"/>
        <v>1.0000000000000002E-2</v>
      </c>
      <c r="G120" s="224"/>
      <c r="H120" s="224">
        <f t="shared" si="182"/>
        <v>6.3000000000000014E-2</v>
      </c>
      <c r="I120" s="560">
        <f t="shared" si="183"/>
        <v>10</v>
      </c>
      <c r="J120" s="455">
        <f t="shared" si="184"/>
        <v>13.1</v>
      </c>
      <c r="K120" s="455">
        <f t="shared" si="185"/>
        <v>23.1</v>
      </c>
      <c r="L120" s="455"/>
      <c r="M120" s="224">
        <f t="shared" si="186"/>
        <v>0.5670995670995671</v>
      </c>
      <c r="N120" s="179">
        <f t="shared" si="232"/>
        <v>3.7003246753246755</v>
      </c>
      <c r="O120" s="179">
        <f t="shared" si="156"/>
        <v>6.3000000000000014E-2</v>
      </c>
      <c r="P120" s="224">
        <f t="shared" si="187"/>
        <v>0.58735312306740883</v>
      </c>
      <c r="Q120" s="224">
        <f t="shared" si="188"/>
        <v>6.3</v>
      </c>
      <c r="R120" s="224"/>
      <c r="S120" s="179">
        <f t="shared" si="189"/>
        <v>647.50192975110156</v>
      </c>
      <c r="T120" s="179">
        <f t="shared" si="190"/>
        <v>6.3</v>
      </c>
      <c r="U120" s="224">
        <f t="shared" si="191"/>
        <v>2.4687022900763363E-2</v>
      </c>
      <c r="V120" s="224">
        <f t="shared" si="192"/>
        <v>0.13577862595419851</v>
      </c>
      <c r="W120" s="224">
        <f t="shared" si="193"/>
        <v>0.10364780607190727</v>
      </c>
      <c r="X120" s="204">
        <f t="shared" si="194"/>
        <v>350</v>
      </c>
      <c r="Y120" s="455">
        <f t="shared" si="195"/>
        <v>350</v>
      </c>
      <c r="AA120" s="224">
        <f t="shared" si="196"/>
        <v>0.29459717771406085</v>
      </c>
      <c r="AB120" s="180">
        <f t="shared" si="197"/>
        <v>1.2368583797155226</v>
      </c>
      <c r="AC120" s="180">
        <f t="shared" si="198"/>
        <v>0.1275312457636627</v>
      </c>
      <c r="AD120" s="180"/>
      <c r="AE120" s="180">
        <f t="shared" si="199"/>
        <v>1.217557251908397</v>
      </c>
      <c r="AF120" s="564">
        <f t="shared" si="200"/>
        <v>28.321262566209061</v>
      </c>
      <c r="AG120" s="547">
        <f t="shared" si="201"/>
        <v>0.1235820610687023</v>
      </c>
      <c r="AI120" s="180">
        <f t="shared" si="202"/>
        <v>8.2493604632085299E-2</v>
      </c>
      <c r="AJ120" s="180">
        <f t="shared" si="203"/>
        <v>0.28999999999999998</v>
      </c>
      <c r="AK120" s="180">
        <f t="shared" si="204"/>
        <v>1.0161835786092623</v>
      </c>
      <c r="AM120" s="564">
        <f t="shared" si="205"/>
        <v>10.000000000000002</v>
      </c>
      <c r="AN120" s="473">
        <f t="shared" si="206"/>
        <v>28.321262566209061</v>
      </c>
      <c r="AP120" s="473">
        <f t="shared" si="207"/>
        <v>10.000000000000002</v>
      </c>
      <c r="AQ120" s="473">
        <f t="shared" si="208"/>
        <v>28.321262566209061</v>
      </c>
      <c r="AS120" s="5">
        <f t="shared" si="158"/>
        <v>35.309160305343504</v>
      </c>
      <c r="AT120" s="5">
        <f t="shared" si="209"/>
        <v>1.5949999999999998</v>
      </c>
      <c r="AU120" s="5">
        <f t="shared" si="210"/>
        <v>33.714160305343505</v>
      </c>
      <c r="AV120" s="5"/>
      <c r="AW120" s="180">
        <f t="shared" si="211"/>
        <v>4.5172413793103453E-2</v>
      </c>
      <c r="AX120" s="180">
        <f t="shared" si="138"/>
        <v>6.5500000000000003E-2</v>
      </c>
      <c r="AY120" s="180">
        <f t="shared" si="139"/>
        <v>0.27689999999999998</v>
      </c>
      <c r="AZ120" s="180">
        <f t="shared" si="161"/>
        <v>0.23654749006861686</v>
      </c>
      <c r="BD120" s="180">
        <f t="shared" si="162"/>
        <v>3.5585577602918479E-2</v>
      </c>
      <c r="BE120" s="180">
        <f t="shared" si="142"/>
        <v>0.32721246920005964</v>
      </c>
      <c r="BG120" s="547">
        <f t="shared" si="212"/>
        <v>4.4321666666666661E-4</v>
      </c>
      <c r="BH120" s="547">
        <f t="shared" si="213"/>
        <v>1.8972413793103449E-3</v>
      </c>
      <c r="BI120" s="547">
        <f t="shared" si="214"/>
        <v>3.5401578207761323E-4</v>
      </c>
      <c r="BJ120" s="547">
        <f t="shared" si="215"/>
        <v>8.6896926278240199E-4</v>
      </c>
      <c r="BK120">
        <f t="shared" si="216"/>
        <v>2.8999999999999998E-3</v>
      </c>
      <c r="BL120" s="473">
        <f t="shared" si="217"/>
        <v>6.4634430908370266</v>
      </c>
      <c r="BM120" s="547">
        <f t="shared" si="218"/>
        <v>3.5000000000000005E-3</v>
      </c>
      <c r="BP120" s="473">
        <f t="shared" si="219"/>
        <v>3.5000000000000004</v>
      </c>
      <c r="BQ120" s="547">
        <f t="shared" si="220"/>
        <v>1.3929666666666666E-4</v>
      </c>
      <c r="BR120" s="547">
        <f t="shared" si="221"/>
        <v>3.7473799999999998E-3</v>
      </c>
      <c r="BS120" s="547">
        <f t="shared" si="222"/>
        <v>9.6659940839155072E-6</v>
      </c>
      <c r="BT120" s="547">
        <f t="shared" si="223"/>
        <v>2.381818181818182E-3</v>
      </c>
      <c r="BU120" s="473">
        <f t="shared" si="224"/>
        <v>6.2781608425687647</v>
      </c>
      <c r="BV120" s="180">
        <f t="shared" si="225"/>
        <v>1.624160393340579E-2</v>
      </c>
      <c r="BW120" s="5">
        <f t="shared" si="226"/>
        <v>6.3000000000000014E-2</v>
      </c>
      <c r="BX120" s="180">
        <f t="shared" si="227"/>
        <v>0.79503691082458217</v>
      </c>
      <c r="BY120" s="5">
        <f t="shared" si="228"/>
        <v>79.503691082458218</v>
      </c>
      <c r="CB120" s="582">
        <f t="shared" si="229"/>
        <v>-50</v>
      </c>
      <c r="CC120">
        <f t="shared" si="230"/>
        <v>-50</v>
      </c>
    </row>
    <row r="121" spans="5:81" x14ac:dyDescent="0.25">
      <c r="E121" s="177">
        <v>11</v>
      </c>
      <c r="F121" s="224">
        <f t="shared" si="231"/>
        <v>1.1000000000000001E-2</v>
      </c>
      <c r="G121" s="224"/>
      <c r="H121" s="224">
        <f t="shared" si="182"/>
        <v>6.93E-2</v>
      </c>
      <c r="I121" s="560">
        <f t="shared" si="183"/>
        <v>10</v>
      </c>
      <c r="J121" s="455">
        <f t="shared" si="184"/>
        <v>13.1</v>
      </c>
      <c r="K121" s="455">
        <f t="shared" si="185"/>
        <v>23.1</v>
      </c>
      <c r="L121" s="455"/>
      <c r="M121" s="224">
        <f t="shared" si="186"/>
        <v>0.5670995670995671</v>
      </c>
      <c r="N121" s="179">
        <f t="shared" si="232"/>
        <v>3.7003246753246755</v>
      </c>
      <c r="O121" s="179">
        <f t="shared" si="156"/>
        <v>6.93E-2</v>
      </c>
      <c r="P121" s="224">
        <f t="shared" si="187"/>
        <v>0.58735312306740883</v>
      </c>
      <c r="Q121" s="224">
        <f t="shared" si="188"/>
        <v>6.3</v>
      </c>
      <c r="R121" s="224"/>
      <c r="S121" s="179">
        <f t="shared" si="189"/>
        <v>588.18394246444325</v>
      </c>
      <c r="T121" s="179">
        <f t="shared" si="190"/>
        <v>6.3</v>
      </c>
      <c r="U121" s="224">
        <f t="shared" si="191"/>
        <v>2.7155725190839693E-2</v>
      </c>
      <c r="V121" s="224">
        <f t="shared" si="192"/>
        <v>0.14935648854961833</v>
      </c>
      <c r="W121" s="224">
        <f t="shared" si="193"/>
        <v>0.11401258667909796</v>
      </c>
      <c r="X121" s="204">
        <f t="shared" si="194"/>
        <v>350</v>
      </c>
      <c r="Y121" s="455">
        <f t="shared" si="195"/>
        <v>350</v>
      </c>
      <c r="AA121" s="224">
        <f t="shared" si="196"/>
        <v>0.29459717771406085</v>
      </c>
      <c r="AB121" s="180">
        <f t="shared" si="197"/>
        <v>1.2368583797155226</v>
      </c>
      <c r="AC121" s="180">
        <f t="shared" si="198"/>
        <v>0.1275312457636627</v>
      </c>
      <c r="AD121" s="180"/>
      <c r="AE121" s="180">
        <f t="shared" si="199"/>
        <v>1.217557251908397</v>
      </c>
      <c r="AF121" s="564">
        <f t="shared" si="200"/>
        <v>31.15338882282996</v>
      </c>
      <c r="AG121" s="547">
        <f t="shared" si="201"/>
        <v>0.1235820610687023</v>
      </c>
      <c r="AI121" s="180">
        <f t="shared" si="202"/>
        <v>8.6520022455581255E-2</v>
      </c>
      <c r="AJ121" s="180">
        <f t="shared" si="203"/>
        <v>0.28999999999999998</v>
      </c>
      <c r="AK121" s="180">
        <f t="shared" si="204"/>
        <v>1.0178019364701885</v>
      </c>
      <c r="AM121" s="564">
        <f t="shared" si="205"/>
        <v>11.000000000000002</v>
      </c>
      <c r="AN121" s="473">
        <f t="shared" si="206"/>
        <v>31.15338882282996</v>
      </c>
      <c r="AP121" s="473">
        <f t="shared" si="207"/>
        <v>11.000000000000002</v>
      </c>
      <c r="AQ121" s="473">
        <f t="shared" si="208"/>
        <v>31.15338882282996</v>
      </c>
      <c r="AS121" s="5">
        <f t="shared" si="158"/>
        <v>32.099236641221381</v>
      </c>
      <c r="AT121" s="5">
        <f t="shared" si="209"/>
        <v>1.5949999999999998</v>
      </c>
      <c r="AU121" s="5">
        <f t="shared" si="210"/>
        <v>30.504236641221382</v>
      </c>
      <c r="AV121" s="5"/>
      <c r="AW121" s="180">
        <f t="shared" si="211"/>
        <v>4.9689655172413777E-2</v>
      </c>
      <c r="AX121" s="180">
        <f t="shared" si="138"/>
        <v>7.2049999999999989E-2</v>
      </c>
      <c r="AY121" s="180">
        <f t="shared" si="139"/>
        <v>0.27559</v>
      </c>
      <c r="AZ121" s="180">
        <f t="shared" si="161"/>
        <v>0.26143909430675999</v>
      </c>
      <c r="BD121" s="180">
        <f t="shared" si="162"/>
        <v>3.7322468657186463E-2</v>
      </c>
      <c r="BE121" s="180">
        <f t="shared" si="142"/>
        <v>0.32643753869104369</v>
      </c>
      <c r="BG121" s="547">
        <f t="shared" si="212"/>
        <v>4.8753833333333303E-4</v>
      </c>
      <c r="BH121" s="547">
        <f t="shared" si="213"/>
        <v>2.0869655172413787E-3</v>
      </c>
      <c r="BI121" s="547">
        <f t="shared" si="214"/>
        <v>3.8941736028537448E-4</v>
      </c>
      <c r="BJ121" s="547">
        <f t="shared" si="215"/>
        <v>9.5586618906064191E-4</v>
      </c>
      <c r="BK121">
        <f t="shared" si="216"/>
        <v>2.8999999999999998E-3</v>
      </c>
      <c r="BL121" s="473">
        <f t="shared" si="217"/>
        <v>6.8197873999207284</v>
      </c>
      <c r="BM121" s="547">
        <f t="shared" si="218"/>
        <v>3.8500000000000001E-3</v>
      </c>
      <c r="BP121" s="473">
        <f t="shared" si="219"/>
        <v>3.85</v>
      </c>
      <c r="BQ121" s="547">
        <f t="shared" si="220"/>
        <v>1.5322633333333325E-4</v>
      </c>
      <c r="BR121" s="547">
        <f t="shared" si="221"/>
        <v>3.7296513333333328E-3</v>
      </c>
      <c r="BS121" s="547">
        <f t="shared" si="222"/>
        <v>1.2266713947100818E-5</v>
      </c>
      <c r="BT121" s="547">
        <f t="shared" si="223"/>
        <v>2.6199999999999999E-3</v>
      </c>
      <c r="BU121" s="473">
        <f t="shared" si="224"/>
        <v>6.5151443806137666</v>
      </c>
      <c r="BV121" s="180">
        <f t="shared" si="225"/>
        <v>1.7184931780534495E-2</v>
      </c>
      <c r="BW121" s="5">
        <f t="shared" si="226"/>
        <v>6.93E-2</v>
      </c>
      <c r="BX121" s="180">
        <f t="shared" si="227"/>
        <v>0.80129565432111061</v>
      </c>
      <c r="BY121" s="5">
        <f t="shared" si="228"/>
        <v>80.129565432111065</v>
      </c>
      <c r="CB121" s="582">
        <f t="shared" si="229"/>
        <v>-50</v>
      </c>
      <c r="CC121">
        <f t="shared" si="230"/>
        <v>-50</v>
      </c>
    </row>
    <row r="122" spans="5:81" x14ac:dyDescent="0.25">
      <c r="E122" s="177">
        <v>12</v>
      </c>
      <c r="F122" s="224">
        <f t="shared" si="231"/>
        <v>1.2E-2</v>
      </c>
      <c r="G122" s="224"/>
      <c r="H122" s="224">
        <f t="shared" si="182"/>
        <v>7.5600000000000001E-2</v>
      </c>
      <c r="I122" s="560">
        <f t="shared" si="183"/>
        <v>10</v>
      </c>
      <c r="J122" s="455">
        <f t="shared" si="184"/>
        <v>13.1</v>
      </c>
      <c r="K122" s="455">
        <f t="shared" si="185"/>
        <v>23.1</v>
      </c>
      <c r="L122" s="455"/>
      <c r="M122" s="224">
        <f t="shared" si="186"/>
        <v>0.5670995670995671</v>
      </c>
      <c r="N122" s="179">
        <f t="shared" si="232"/>
        <v>3.7003246753246755</v>
      </c>
      <c r="O122" s="179">
        <f t="shared" si="156"/>
        <v>7.5600000000000001E-2</v>
      </c>
      <c r="P122" s="224">
        <f t="shared" si="187"/>
        <v>0.58735312306740883</v>
      </c>
      <c r="Q122" s="224">
        <f t="shared" si="188"/>
        <v>6.3</v>
      </c>
      <c r="R122" s="224"/>
      <c r="S122" s="179">
        <f t="shared" si="189"/>
        <v>538.75231909948388</v>
      </c>
      <c r="T122" s="179">
        <f t="shared" si="190"/>
        <v>6.3</v>
      </c>
      <c r="U122" s="224">
        <f t="shared" si="191"/>
        <v>2.9624427480916031E-2</v>
      </c>
      <c r="V122" s="224">
        <f t="shared" si="192"/>
        <v>0.16293435114503818</v>
      </c>
      <c r="W122" s="224">
        <f t="shared" si="193"/>
        <v>0.1243773672862887</v>
      </c>
      <c r="X122" s="204">
        <f t="shared" si="194"/>
        <v>350</v>
      </c>
      <c r="Y122" s="455">
        <f t="shared" si="195"/>
        <v>350</v>
      </c>
      <c r="AA122" s="224">
        <f t="shared" si="196"/>
        <v>0.29459717771406085</v>
      </c>
      <c r="AB122" s="180">
        <f t="shared" si="197"/>
        <v>1.2368583797155226</v>
      </c>
      <c r="AC122" s="180">
        <f t="shared" si="198"/>
        <v>0.1275312457636627</v>
      </c>
      <c r="AD122" s="180"/>
      <c r="AE122" s="180">
        <f t="shared" si="199"/>
        <v>1.217557251908397</v>
      </c>
      <c r="AF122" s="564">
        <f t="shared" si="200"/>
        <v>33.985515079450863</v>
      </c>
      <c r="AG122" s="547">
        <f t="shared" si="201"/>
        <v>0.1235820610687023</v>
      </c>
      <c r="AI122" s="180">
        <f t="shared" si="202"/>
        <v>9.0367216213811552E-2</v>
      </c>
      <c r="AJ122" s="180">
        <f t="shared" si="203"/>
        <v>0.28999999999999998</v>
      </c>
      <c r="AK122" s="180">
        <f t="shared" si="204"/>
        <v>1.0194202943311148</v>
      </c>
      <c r="AM122" s="564">
        <f t="shared" si="205"/>
        <v>12</v>
      </c>
      <c r="AN122" s="473">
        <f t="shared" si="206"/>
        <v>33.985515079450863</v>
      </c>
      <c r="AP122" s="473">
        <f t="shared" si="207"/>
        <v>12</v>
      </c>
      <c r="AQ122" s="473">
        <f t="shared" si="208"/>
        <v>33.985515079450863</v>
      </c>
      <c r="AS122" s="5">
        <f t="shared" si="158"/>
        <v>29.42430025445293</v>
      </c>
      <c r="AT122" s="5">
        <f t="shared" si="209"/>
        <v>1.5949999999999998</v>
      </c>
      <c r="AU122" s="5">
        <f t="shared" si="210"/>
        <v>27.829300254452932</v>
      </c>
      <c r="AV122" s="5"/>
      <c r="AW122" s="180">
        <f t="shared" si="211"/>
        <v>5.4206896551724122E-2</v>
      </c>
      <c r="AX122" s="180">
        <f t="shared" si="138"/>
        <v>7.8599999999999989E-2</v>
      </c>
      <c r="AY122" s="180">
        <f t="shared" si="139"/>
        <v>0.27427999999999997</v>
      </c>
      <c r="AZ122" s="180">
        <f t="shared" si="161"/>
        <v>0.28656847017646203</v>
      </c>
      <c r="BD122" s="180">
        <f t="shared" si="162"/>
        <v>3.8982047149938123E-2</v>
      </c>
      <c r="BE122" s="180">
        <f t="shared" si="142"/>
        <v>0.32566076419079609</v>
      </c>
      <c r="BG122" s="547">
        <f t="shared" si="212"/>
        <v>5.3185999999999956E-4</v>
      </c>
      <c r="BH122" s="547">
        <f t="shared" si="213"/>
        <v>2.2766896551724134E-3</v>
      </c>
      <c r="BI122" s="547">
        <f t="shared" si="214"/>
        <v>4.2481893849313578E-4</v>
      </c>
      <c r="BJ122" s="547">
        <f t="shared" si="215"/>
        <v>1.0427631153388818E-3</v>
      </c>
      <c r="BK122">
        <f t="shared" si="216"/>
        <v>2.8999999999999998E-3</v>
      </c>
      <c r="BL122" s="473">
        <f t="shared" si="217"/>
        <v>7.1761317090044301</v>
      </c>
      <c r="BM122" s="547">
        <f t="shared" si="218"/>
        <v>4.1999999999999997E-3</v>
      </c>
      <c r="BP122" s="473">
        <f t="shared" si="219"/>
        <v>4.2</v>
      </c>
      <c r="BQ122" s="547">
        <f t="shared" si="220"/>
        <v>1.671559999999999E-4</v>
      </c>
      <c r="BR122" s="547">
        <f t="shared" si="221"/>
        <v>3.7119226666666658E-3</v>
      </c>
      <c r="BS122" s="547">
        <f t="shared" si="222"/>
        <v>1.524753504135936E-5</v>
      </c>
      <c r="BT122" s="547">
        <f t="shared" si="223"/>
        <v>2.8581818181818174E-3</v>
      </c>
      <c r="BU122" s="473">
        <f t="shared" si="224"/>
        <v>6.7525080198898424</v>
      </c>
      <c r="BV122" s="180">
        <f t="shared" si="225"/>
        <v>1.8128639728894273E-2</v>
      </c>
      <c r="BW122" s="5">
        <f t="shared" si="226"/>
        <v>7.5600000000000001E-2</v>
      </c>
      <c r="BX122" s="180">
        <f t="shared" si="227"/>
        <v>0.80658377437962903</v>
      </c>
      <c r="BY122" s="5">
        <f t="shared" si="228"/>
        <v>80.658377437962898</v>
      </c>
      <c r="CB122" s="582">
        <f t="shared" si="229"/>
        <v>-50</v>
      </c>
      <c r="CC122">
        <f t="shared" si="230"/>
        <v>-50</v>
      </c>
    </row>
    <row r="123" spans="5:81" x14ac:dyDescent="0.25">
      <c r="E123" s="177">
        <v>13</v>
      </c>
      <c r="F123" s="224">
        <f t="shared" si="231"/>
        <v>1.3000000000000001E-2</v>
      </c>
      <c r="G123" s="224"/>
      <c r="H123" s="224">
        <f t="shared" si="182"/>
        <v>8.1900000000000001E-2</v>
      </c>
      <c r="I123" s="560">
        <f t="shared" si="183"/>
        <v>10</v>
      </c>
      <c r="J123" s="455">
        <f t="shared" si="184"/>
        <v>13.1</v>
      </c>
      <c r="K123" s="455">
        <f t="shared" si="185"/>
        <v>23.1</v>
      </c>
      <c r="L123" s="455"/>
      <c r="M123" s="224">
        <f t="shared" si="186"/>
        <v>0.5670995670995671</v>
      </c>
      <c r="N123" s="179">
        <f t="shared" si="232"/>
        <v>3.7003246753246755</v>
      </c>
      <c r="O123" s="179">
        <f t="shared" si="156"/>
        <v>8.1900000000000001E-2</v>
      </c>
      <c r="P123" s="224">
        <f t="shared" si="187"/>
        <v>0.58735312306740883</v>
      </c>
      <c r="Q123" s="224">
        <f t="shared" si="188"/>
        <v>6.3</v>
      </c>
      <c r="R123" s="224"/>
      <c r="S123" s="179">
        <f t="shared" si="189"/>
        <v>496.92559112534735</v>
      </c>
      <c r="T123" s="179">
        <f t="shared" si="190"/>
        <v>6.3</v>
      </c>
      <c r="U123" s="224">
        <f t="shared" si="191"/>
        <v>3.2093129770992365E-2</v>
      </c>
      <c r="V123" s="224">
        <f t="shared" si="192"/>
        <v>0.176512213740458</v>
      </c>
      <c r="W123" s="224">
        <f t="shared" si="193"/>
        <v>0.13474214789347941</v>
      </c>
      <c r="X123" s="204">
        <f t="shared" si="194"/>
        <v>350</v>
      </c>
      <c r="Y123" s="455">
        <f t="shared" si="195"/>
        <v>350</v>
      </c>
      <c r="AA123" s="224">
        <f t="shared" si="196"/>
        <v>0.29459717771406085</v>
      </c>
      <c r="AB123" s="180">
        <f t="shared" si="197"/>
        <v>1.2368583797155226</v>
      </c>
      <c r="AC123" s="180">
        <f t="shared" si="198"/>
        <v>0.1275312457636627</v>
      </c>
      <c r="AD123" s="180"/>
      <c r="AE123" s="180">
        <f t="shared" si="199"/>
        <v>1.217557251908397</v>
      </c>
      <c r="AF123" s="564">
        <f t="shared" si="200"/>
        <v>36.817641336071773</v>
      </c>
      <c r="AG123" s="547">
        <f t="shared" si="201"/>
        <v>0.1235820610687023</v>
      </c>
      <c r="AI123" s="180">
        <f t="shared" si="202"/>
        <v>9.4057180729348072E-2</v>
      </c>
      <c r="AJ123" s="180">
        <f t="shared" si="203"/>
        <v>0.28999999999999998</v>
      </c>
      <c r="AK123" s="180">
        <f t="shared" si="204"/>
        <v>1.0210386521920409</v>
      </c>
      <c r="AM123" s="564">
        <f t="shared" si="205"/>
        <v>13.000000000000002</v>
      </c>
      <c r="AN123" s="473">
        <f t="shared" si="206"/>
        <v>36.817641336071773</v>
      </c>
      <c r="AP123" s="473">
        <f t="shared" si="207"/>
        <v>13.000000000000002</v>
      </c>
      <c r="AQ123" s="473">
        <f t="shared" si="208"/>
        <v>36.817641336071773</v>
      </c>
      <c r="AS123" s="5">
        <f t="shared" si="158"/>
        <v>27.160892542571933</v>
      </c>
      <c r="AT123" s="5">
        <f t="shared" si="209"/>
        <v>1.5949999999999998</v>
      </c>
      <c r="AU123" s="5">
        <f t="shared" si="210"/>
        <v>25.565892542571934</v>
      </c>
      <c r="AV123" s="5"/>
      <c r="AW123" s="180">
        <f t="shared" si="211"/>
        <v>5.8724137931034474E-2</v>
      </c>
      <c r="AX123" s="180">
        <f t="shared" si="138"/>
        <v>8.514999999999999E-2</v>
      </c>
      <c r="AY123" s="180">
        <f t="shared" si="139"/>
        <v>0.27296999999999999</v>
      </c>
      <c r="AZ123" s="180">
        <f t="shared" si="161"/>
        <v>0.3119390409202476</v>
      </c>
      <c r="BD123" s="180">
        <f t="shared" si="162"/>
        <v>4.057380107080593E-2</v>
      </c>
      <c r="BE123" s="180">
        <f t="shared" si="142"/>
        <v>0.32488213247268616</v>
      </c>
      <c r="BG123" s="547">
        <f t="shared" si="212"/>
        <v>5.7618166666666636E-4</v>
      </c>
      <c r="BH123" s="547">
        <f t="shared" si="213"/>
        <v>2.4664137931034481E-3</v>
      </c>
      <c r="BI123" s="547">
        <f t="shared" si="214"/>
        <v>4.6022051670089714E-4</v>
      </c>
      <c r="BJ123" s="547">
        <f t="shared" si="215"/>
        <v>1.1296600416171223E-3</v>
      </c>
      <c r="BK123">
        <f t="shared" si="216"/>
        <v>2.8999999999999998E-3</v>
      </c>
      <c r="BL123" s="473">
        <f t="shared" si="217"/>
        <v>7.5324760180881336</v>
      </c>
      <c r="BM123" s="547">
        <f t="shared" si="218"/>
        <v>4.5500000000000002E-3</v>
      </c>
      <c r="BP123" s="473">
        <f t="shared" si="219"/>
        <v>4.55</v>
      </c>
      <c r="BQ123" s="547">
        <f t="shared" si="220"/>
        <v>1.8108566666666658E-4</v>
      </c>
      <c r="BR123" s="547">
        <f t="shared" si="221"/>
        <v>3.6941940000000005E-3</v>
      </c>
      <c r="BS123" s="547">
        <f t="shared" si="222"/>
        <v>1.8625369864041648E-5</v>
      </c>
      <c r="BT123" s="547">
        <f t="shared" si="223"/>
        <v>3.0963636363636362E-3</v>
      </c>
      <c r="BU123" s="473">
        <f t="shared" si="224"/>
        <v>6.9902686728943451</v>
      </c>
      <c r="BV123" s="180">
        <f t="shared" si="225"/>
        <v>1.9072744690982479E-2</v>
      </c>
      <c r="BW123" s="5">
        <f t="shared" si="226"/>
        <v>8.1900000000000001E-2</v>
      </c>
      <c r="BX123" s="180">
        <f t="shared" si="227"/>
        <v>0.81110997082081104</v>
      </c>
      <c r="BY123" s="5">
        <f t="shared" si="228"/>
        <v>81.110997082081099</v>
      </c>
      <c r="CB123" s="582">
        <f t="shared" si="229"/>
        <v>-50</v>
      </c>
      <c r="CC123">
        <f t="shared" si="230"/>
        <v>-50</v>
      </c>
    </row>
    <row r="124" spans="5:81" x14ac:dyDescent="0.25">
      <c r="E124" s="177">
        <v>14</v>
      </c>
      <c r="F124" s="224">
        <f t="shared" si="231"/>
        <v>1.4000000000000002E-2</v>
      </c>
      <c r="G124" s="224"/>
      <c r="H124" s="224">
        <f t="shared" si="182"/>
        <v>8.8200000000000014E-2</v>
      </c>
      <c r="I124" s="560">
        <f t="shared" si="183"/>
        <v>10</v>
      </c>
      <c r="J124" s="455">
        <f t="shared" si="184"/>
        <v>13.1</v>
      </c>
      <c r="K124" s="455">
        <f t="shared" si="185"/>
        <v>23.1</v>
      </c>
      <c r="L124" s="455"/>
      <c r="M124" s="224">
        <f t="shared" si="186"/>
        <v>0.5670995670995671</v>
      </c>
      <c r="N124" s="179">
        <f t="shared" si="232"/>
        <v>3.7003246753246755</v>
      </c>
      <c r="O124" s="179">
        <f t="shared" si="156"/>
        <v>8.8200000000000014E-2</v>
      </c>
      <c r="P124" s="224">
        <f t="shared" si="187"/>
        <v>0.58735312306740883</v>
      </c>
      <c r="Q124" s="224">
        <f t="shared" si="188"/>
        <v>6.3</v>
      </c>
      <c r="R124" s="224"/>
      <c r="S124" s="179">
        <f t="shared" si="189"/>
        <v>461.07413816300766</v>
      </c>
      <c r="T124" s="179">
        <f t="shared" si="190"/>
        <v>6.3</v>
      </c>
      <c r="U124" s="224">
        <f t="shared" si="191"/>
        <v>3.4561832061068706E-2</v>
      </c>
      <c r="V124" s="224">
        <f t="shared" si="192"/>
        <v>0.19009007633587791</v>
      </c>
      <c r="W124" s="224">
        <f t="shared" si="193"/>
        <v>0.14510692850067014</v>
      </c>
      <c r="X124" s="204">
        <f t="shared" si="194"/>
        <v>350</v>
      </c>
      <c r="Y124" s="455">
        <f t="shared" si="195"/>
        <v>350</v>
      </c>
      <c r="AA124" s="224">
        <f t="shared" si="196"/>
        <v>0.29459717771406085</v>
      </c>
      <c r="AB124" s="180">
        <f t="shared" si="197"/>
        <v>1.2368583797155226</v>
      </c>
      <c r="AC124" s="180">
        <f t="shared" si="198"/>
        <v>0.1275312457636627</v>
      </c>
      <c r="AD124" s="180"/>
      <c r="AE124" s="180">
        <f t="shared" si="199"/>
        <v>1.217557251908397</v>
      </c>
      <c r="AF124" s="564">
        <f t="shared" si="200"/>
        <v>39.649767592692683</v>
      </c>
      <c r="AG124" s="547">
        <f t="shared" si="201"/>
        <v>0.1235820610687023</v>
      </c>
      <c r="AI124" s="180">
        <f t="shared" si="202"/>
        <v>9.7607749319778545E-2</v>
      </c>
      <c r="AJ124" s="180">
        <f t="shared" si="203"/>
        <v>0.28999999999999998</v>
      </c>
      <c r="AK124" s="180">
        <f t="shared" si="204"/>
        <v>1.0226570100529673</v>
      </c>
      <c r="AM124" s="564">
        <f t="shared" si="205"/>
        <v>14.000000000000002</v>
      </c>
      <c r="AN124" s="473">
        <f t="shared" si="206"/>
        <v>39.649767592692683</v>
      </c>
      <c r="AP124" s="473">
        <f t="shared" si="207"/>
        <v>14.000000000000002</v>
      </c>
      <c r="AQ124" s="473">
        <f t="shared" si="208"/>
        <v>39.649767592692683</v>
      </c>
      <c r="AS124" s="5">
        <f t="shared" si="158"/>
        <v>25.22082878953108</v>
      </c>
      <c r="AT124" s="5">
        <f t="shared" si="209"/>
        <v>1.5949999999999998</v>
      </c>
      <c r="AU124" s="5">
        <f t="shared" si="210"/>
        <v>23.625828789531081</v>
      </c>
      <c r="AV124" s="5"/>
      <c r="AW124" s="180">
        <f t="shared" si="211"/>
        <v>6.324137931034482E-2</v>
      </c>
      <c r="AX124" s="180">
        <f t="shared" si="138"/>
        <v>9.1700000000000004E-2</v>
      </c>
      <c r="AY124" s="180">
        <f t="shared" si="139"/>
        <v>0.27166000000000001</v>
      </c>
      <c r="AZ124" s="180">
        <f t="shared" si="161"/>
        <v>0.33755429581094015</v>
      </c>
      <c r="BD124" s="180">
        <f t="shared" si="162"/>
        <v>4.2105423245309699E-2</v>
      </c>
      <c r="BE124" s="180">
        <f t="shared" si="142"/>
        <v>0.32410163015120219</v>
      </c>
      <c r="BG124" s="547">
        <f t="shared" si="212"/>
        <v>6.2050333333333316E-4</v>
      </c>
      <c r="BH124" s="547">
        <f t="shared" si="213"/>
        <v>2.6561379310344828E-3</v>
      </c>
      <c r="BI124" s="547">
        <f t="shared" si="214"/>
        <v>4.9562209490865844E-4</v>
      </c>
      <c r="BJ124" s="547">
        <f t="shared" si="215"/>
        <v>1.2165569678953625E-3</v>
      </c>
      <c r="BK124">
        <f t="shared" si="216"/>
        <v>2.8999999999999998E-3</v>
      </c>
      <c r="BL124" s="473">
        <f t="shared" si="217"/>
        <v>7.8888203271718362</v>
      </c>
      <c r="BM124" s="547">
        <f t="shared" si="218"/>
        <v>4.9000000000000007E-3</v>
      </c>
      <c r="BP124" s="473">
        <f t="shared" si="219"/>
        <v>4.9000000000000004</v>
      </c>
      <c r="BQ124" s="547">
        <f t="shared" si="220"/>
        <v>1.9501533333333331E-4</v>
      </c>
      <c r="BR124" s="547">
        <f t="shared" si="221"/>
        <v>3.676465333333333E-3</v>
      </c>
      <c r="BS124" s="547">
        <f t="shared" si="222"/>
        <v>2.2416438535897896E-5</v>
      </c>
      <c r="BT124" s="547">
        <f t="shared" si="223"/>
        <v>3.3345454545454551E-3</v>
      </c>
      <c r="BU124" s="473">
        <f t="shared" si="224"/>
        <v>7.2284425597480197</v>
      </c>
      <c r="BV124" s="180">
        <f t="shared" si="225"/>
        <v>2.0017262886919858E-2</v>
      </c>
      <c r="BW124" s="5">
        <f t="shared" si="226"/>
        <v>8.8200000000000014E-2</v>
      </c>
      <c r="BX124" s="180">
        <f t="shared" si="227"/>
        <v>0.81502708206696539</v>
      </c>
      <c r="BY124" s="5">
        <f t="shared" si="228"/>
        <v>81.502708206696539</v>
      </c>
      <c r="CB124" s="582">
        <f t="shared" si="229"/>
        <v>-50</v>
      </c>
      <c r="CC124">
        <f t="shared" si="230"/>
        <v>-50</v>
      </c>
    </row>
    <row r="125" spans="5:81" x14ac:dyDescent="0.25">
      <c r="E125" s="177">
        <v>15</v>
      </c>
      <c r="F125" s="224">
        <f t="shared" si="231"/>
        <v>1.4999999999999999E-2</v>
      </c>
      <c r="G125" s="224"/>
      <c r="H125" s="224">
        <f t="shared" si="182"/>
        <v>9.4500000000000001E-2</v>
      </c>
      <c r="I125" s="560">
        <f t="shared" si="183"/>
        <v>10</v>
      </c>
      <c r="J125" s="455">
        <f t="shared" si="184"/>
        <v>13.1</v>
      </c>
      <c r="K125" s="455">
        <f t="shared" si="185"/>
        <v>23.1</v>
      </c>
      <c r="L125" s="455"/>
      <c r="M125" s="224">
        <f t="shared" si="186"/>
        <v>0.5670995670995671</v>
      </c>
      <c r="N125" s="179">
        <f t="shared" si="232"/>
        <v>3.7003246753246755</v>
      </c>
      <c r="O125" s="179">
        <f t="shared" si="156"/>
        <v>9.4500000000000001E-2</v>
      </c>
      <c r="P125" s="224">
        <f t="shared" si="187"/>
        <v>0.58735312306740883</v>
      </c>
      <c r="Q125" s="224">
        <f t="shared" si="188"/>
        <v>6.3</v>
      </c>
      <c r="R125" s="224"/>
      <c r="S125" s="179">
        <f t="shared" si="189"/>
        <v>430.00290526800563</v>
      </c>
      <c r="T125" s="179">
        <f t="shared" si="190"/>
        <v>6.3</v>
      </c>
      <c r="U125" s="224">
        <f t="shared" si="191"/>
        <v>3.703053435114504E-2</v>
      </c>
      <c r="V125" s="224">
        <f t="shared" si="192"/>
        <v>0.20366793893129775</v>
      </c>
      <c r="W125" s="224">
        <f t="shared" si="193"/>
        <v>0.15547170910786087</v>
      </c>
      <c r="X125" s="204">
        <f t="shared" si="194"/>
        <v>350</v>
      </c>
      <c r="Y125" s="455">
        <f t="shared" si="195"/>
        <v>350</v>
      </c>
      <c r="AA125" s="224">
        <f t="shared" si="196"/>
        <v>0.29459717771406085</v>
      </c>
      <c r="AB125" s="180">
        <f t="shared" si="197"/>
        <v>1.2368583797155226</v>
      </c>
      <c r="AC125" s="180">
        <f t="shared" si="198"/>
        <v>0.1275312457636627</v>
      </c>
      <c r="AD125" s="180"/>
      <c r="AE125" s="180">
        <f t="shared" si="199"/>
        <v>1.217557251908397</v>
      </c>
      <c r="AF125" s="564">
        <f t="shared" si="200"/>
        <v>42.481893849313579</v>
      </c>
      <c r="AG125" s="547">
        <f t="shared" si="201"/>
        <v>0.1235820610687023</v>
      </c>
      <c r="AI125" s="180">
        <f t="shared" si="202"/>
        <v>0.10103361919575189</v>
      </c>
      <c r="AJ125" s="180">
        <f t="shared" si="203"/>
        <v>0.28999999999999998</v>
      </c>
      <c r="AK125" s="180">
        <f t="shared" si="204"/>
        <v>1.0242753679138934</v>
      </c>
      <c r="AM125" s="564">
        <f t="shared" si="205"/>
        <v>15</v>
      </c>
      <c r="AN125" s="473">
        <f t="shared" si="206"/>
        <v>42.481893849313579</v>
      </c>
      <c r="AP125" s="473">
        <f t="shared" si="207"/>
        <v>15</v>
      </c>
      <c r="AQ125" s="473">
        <f t="shared" si="208"/>
        <v>42.481893849313579</v>
      </c>
      <c r="AS125" s="5">
        <f t="shared" si="158"/>
        <v>23.539440203562346</v>
      </c>
      <c r="AT125" s="5">
        <f t="shared" si="209"/>
        <v>1.5949999999999998</v>
      </c>
      <c r="AU125" s="5">
        <f t="shared" si="210"/>
        <v>21.944440203562348</v>
      </c>
      <c r="AV125" s="5"/>
      <c r="AW125" s="180">
        <f t="shared" si="211"/>
        <v>6.7758620689655144E-2</v>
      </c>
      <c r="AX125" s="180">
        <f t="shared" si="138"/>
        <v>9.8249999999999976E-2</v>
      </c>
      <c r="AY125" s="180">
        <f t="shared" si="139"/>
        <v>0.27034999999999998</v>
      </c>
      <c r="AZ125" s="180">
        <f t="shared" si="161"/>
        <v>0.36341779175143329</v>
      </c>
      <c r="BD125" s="180">
        <f t="shared" si="162"/>
        <v>4.3583253664681791E-2</v>
      </c>
      <c r="BE125" s="180">
        <f t="shared" si="142"/>
        <v>0.32331924367926718</v>
      </c>
      <c r="BG125" s="547">
        <f t="shared" si="212"/>
        <v>6.6482499999999953E-4</v>
      </c>
      <c r="BH125" s="547">
        <f t="shared" si="213"/>
        <v>2.8458620689655171E-3</v>
      </c>
      <c r="BI125" s="547">
        <f t="shared" si="214"/>
        <v>5.3102367311641963E-4</v>
      </c>
      <c r="BJ125" s="547">
        <f t="shared" si="215"/>
        <v>1.3034538941736026E-3</v>
      </c>
      <c r="BK125">
        <f t="shared" si="216"/>
        <v>2.8999999999999998E-3</v>
      </c>
      <c r="BL125" s="473">
        <f t="shared" si="217"/>
        <v>8.245164636255538</v>
      </c>
      <c r="BM125" s="547">
        <f t="shared" si="218"/>
        <v>5.2499999999999995E-3</v>
      </c>
      <c r="BP125" s="473">
        <f t="shared" si="219"/>
        <v>5.2499999999999991</v>
      </c>
      <c r="BQ125" s="547">
        <f t="shared" si="220"/>
        <v>2.0894499999999988E-4</v>
      </c>
      <c r="BR125" s="547">
        <f t="shared" si="221"/>
        <v>3.6587366666666673E-3</v>
      </c>
      <c r="BS125" s="547">
        <f t="shared" si="222"/>
        <v>2.6636347532648158E-5</v>
      </c>
      <c r="BT125" s="547">
        <f t="shared" si="223"/>
        <v>3.5727272727272721E-3</v>
      </c>
      <c r="BU125" s="473">
        <f t="shared" si="224"/>
        <v>7.4670452869265871</v>
      </c>
      <c r="BV125" s="180">
        <f t="shared" si="225"/>
        <v>2.0962209923182127E-2</v>
      </c>
      <c r="BW125" s="5">
        <f t="shared" si="226"/>
        <v>9.4500000000000001E-2</v>
      </c>
      <c r="BX125" s="180">
        <f t="shared" si="227"/>
        <v>0.81844960409879186</v>
      </c>
      <c r="BY125" s="5">
        <f t="shared" si="228"/>
        <v>81.844960409879192</v>
      </c>
      <c r="CB125" s="582">
        <f t="shared" si="229"/>
        <v>-50</v>
      </c>
      <c r="CC125">
        <f t="shared" si="230"/>
        <v>-50</v>
      </c>
    </row>
    <row r="126" spans="5:81" x14ac:dyDescent="0.25">
      <c r="E126" s="177">
        <v>16</v>
      </c>
      <c r="F126" s="224">
        <f t="shared" si="231"/>
        <v>1.6E-2</v>
      </c>
      <c r="G126" s="224"/>
      <c r="H126" s="224">
        <f t="shared" si="182"/>
        <v>0.1008</v>
      </c>
      <c r="I126" s="560">
        <f t="shared" si="183"/>
        <v>10</v>
      </c>
      <c r="J126" s="455">
        <f t="shared" si="184"/>
        <v>13.1</v>
      </c>
      <c r="K126" s="455">
        <f t="shared" si="185"/>
        <v>23.1</v>
      </c>
      <c r="L126" s="455"/>
      <c r="M126" s="224">
        <f t="shared" si="186"/>
        <v>0.5670995670995671</v>
      </c>
      <c r="N126" s="179">
        <f t="shared" si="232"/>
        <v>3.7003246753246755</v>
      </c>
      <c r="O126" s="179">
        <f t="shared" si="156"/>
        <v>0.1008</v>
      </c>
      <c r="P126" s="224">
        <f t="shared" si="187"/>
        <v>0.58735312306740883</v>
      </c>
      <c r="Q126" s="224">
        <f t="shared" si="188"/>
        <v>6.3</v>
      </c>
      <c r="R126" s="224"/>
      <c r="S126" s="179">
        <f t="shared" si="189"/>
        <v>402.81560123214729</v>
      </c>
      <c r="T126" s="179">
        <f t="shared" si="190"/>
        <v>6.3</v>
      </c>
      <c r="U126" s="224">
        <f t="shared" si="191"/>
        <v>3.9499236641221375E-2</v>
      </c>
      <c r="V126" s="224">
        <f t="shared" si="192"/>
        <v>0.21724580152671757</v>
      </c>
      <c r="W126" s="224">
        <f t="shared" si="193"/>
        <v>0.16583648971505158</v>
      </c>
      <c r="X126" s="204">
        <f t="shared" si="194"/>
        <v>350</v>
      </c>
      <c r="Y126" s="455">
        <f t="shared" si="195"/>
        <v>350</v>
      </c>
      <c r="AA126" s="224">
        <f t="shared" si="196"/>
        <v>0.29459717771406085</v>
      </c>
      <c r="AB126" s="180">
        <f t="shared" si="197"/>
        <v>1.2368583797155226</v>
      </c>
      <c r="AC126" s="180">
        <f t="shared" si="198"/>
        <v>0.1275312457636627</v>
      </c>
      <c r="AD126" s="180"/>
      <c r="AE126" s="180">
        <f t="shared" si="199"/>
        <v>1.217557251908397</v>
      </c>
      <c r="AF126" s="564">
        <f t="shared" si="200"/>
        <v>45.314020105934489</v>
      </c>
      <c r="AG126" s="547">
        <f t="shared" si="201"/>
        <v>0.1235820610687023</v>
      </c>
      <c r="AI126" s="180">
        <f t="shared" si="202"/>
        <v>0.10434707321392242</v>
      </c>
      <c r="AJ126" s="180">
        <f t="shared" si="203"/>
        <v>0.28999999999999998</v>
      </c>
      <c r="AK126" s="180">
        <f t="shared" si="204"/>
        <v>1.0258937257748197</v>
      </c>
      <c r="AM126" s="564">
        <f t="shared" si="205"/>
        <v>16</v>
      </c>
      <c r="AN126" s="473">
        <f t="shared" si="206"/>
        <v>45.314020105934489</v>
      </c>
      <c r="AP126" s="473">
        <f t="shared" si="207"/>
        <v>16</v>
      </c>
      <c r="AQ126" s="473">
        <f t="shared" si="208"/>
        <v>45.314020105934489</v>
      </c>
      <c r="AS126" s="5">
        <f t="shared" si="158"/>
        <v>22.068225190839698</v>
      </c>
      <c r="AT126" s="5">
        <f t="shared" si="209"/>
        <v>1.5949999999999998</v>
      </c>
      <c r="AU126" s="5">
        <f t="shared" si="210"/>
        <v>20.473225190839699</v>
      </c>
      <c r="AV126" s="5"/>
      <c r="AW126" s="180">
        <f t="shared" si="211"/>
        <v>7.2275862068965496E-2</v>
      </c>
      <c r="AX126" s="180">
        <f t="shared" si="138"/>
        <v>0.10479999999999999</v>
      </c>
      <c r="AY126" s="180">
        <f t="shared" si="139"/>
        <v>0.26904</v>
      </c>
      <c r="AZ126" s="180">
        <f t="shared" si="161"/>
        <v>0.38953315492120127</v>
      </c>
      <c r="BD126" s="180">
        <f t="shared" si="162"/>
        <v>4.5012590831158925E-2</v>
      </c>
      <c r="BE126" s="180">
        <f t="shared" si="142"/>
        <v>0.32253495934549481</v>
      </c>
      <c r="BG126" s="547">
        <f t="shared" si="212"/>
        <v>7.0914666666666633E-4</v>
      </c>
      <c r="BH126" s="547">
        <f t="shared" si="213"/>
        <v>3.0355862068965514E-3</v>
      </c>
      <c r="BI126" s="547">
        <f t="shared" si="214"/>
        <v>5.6642525132418115E-4</v>
      </c>
      <c r="BJ126" s="547">
        <f t="shared" si="215"/>
        <v>1.3903508204518428E-3</v>
      </c>
      <c r="BK126">
        <f t="shared" si="216"/>
        <v>2.8999999999999998E-3</v>
      </c>
      <c r="BL126" s="473">
        <f t="shared" si="217"/>
        <v>8.6015089453392424</v>
      </c>
      <c r="BM126" s="547">
        <f t="shared" si="218"/>
        <v>5.5999999999999999E-3</v>
      </c>
      <c r="BP126" s="473">
        <f t="shared" si="219"/>
        <v>5.6</v>
      </c>
      <c r="BQ126" s="547">
        <f t="shared" si="220"/>
        <v>2.2287466666666658E-4</v>
      </c>
      <c r="BR126" s="547">
        <f t="shared" si="221"/>
        <v>3.6410079999999998E-3</v>
      </c>
      <c r="BS126" s="547">
        <f t="shared" si="222"/>
        <v>3.1300154526602975E-5</v>
      </c>
      <c r="BT126" s="547">
        <f t="shared" si="223"/>
        <v>3.8109090909090909E-3</v>
      </c>
      <c r="BU126" s="473">
        <f t="shared" si="224"/>
        <v>7.7060919121023606</v>
      </c>
      <c r="BV126" s="180">
        <f t="shared" si="225"/>
        <v>2.19076008574416E-2</v>
      </c>
      <c r="BW126" s="5">
        <f t="shared" si="226"/>
        <v>0.1008</v>
      </c>
      <c r="BX126" s="180">
        <f t="shared" si="227"/>
        <v>0.82146500539201917</v>
      </c>
      <c r="BY126" s="5">
        <f t="shared" si="228"/>
        <v>82.146500539201924</v>
      </c>
      <c r="CB126" s="582">
        <f t="shared" si="229"/>
        <v>-50</v>
      </c>
      <c r="CC126">
        <f t="shared" si="230"/>
        <v>-50</v>
      </c>
    </row>
    <row r="127" spans="5:81" x14ac:dyDescent="0.25">
      <c r="E127" s="177">
        <v>17</v>
      </c>
      <c r="F127" s="224">
        <f t="shared" si="231"/>
        <v>1.7000000000000001E-2</v>
      </c>
      <c r="G127" s="224"/>
      <c r="H127" s="224">
        <f t="shared" si="182"/>
        <v>0.1071</v>
      </c>
      <c r="I127" s="560">
        <f t="shared" si="183"/>
        <v>10</v>
      </c>
      <c r="J127" s="455">
        <f t="shared" si="184"/>
        <v>13.1</v>
      </c>
      <c r="K127" s="455">
        <f t="shared" si="185"/>
        <v>23.1</v>
      </c>
      <c r="L127" s="455"/>
      <c r="M127" s="224">
        <f t="shared" si="186"/>
        <v>0.5670995670995671</v>
      </c>
      <c r="N127" s="179">
        <f t="shared" si="232"/>
        <v>3.7003246753246755</v>
      </c>
      <c r="O127" s="179">
        <f t="shared" si="156"/>
        <v>0.1071</v>
      </c>
      <c r="P127" s="224">
        <f t="shared" si="187"/>
        <v>0.58735312306740883</v>
      </c>
      <c r="Q127" s="224">
        <f t="shared" si="188"/>
        <v>6.3</v>
      </c>
      <c r="R127" s="224"/>
      <c r="S127" s="179">
        <f t="shared" si="189"/>
        <v>378.82682689636761</v>
      </c>
      <c r="T127" s="179">
        <f t="shared" si="190"/>
        <v>6.3</v>
      </c>
      <c r="U127" s="224">
        <f t="shared" si="191"/>
        <v>4.1967938931297709E-2</v>
      </c>
      <c r="V127" s="224">
        <f t="shared" si="192"/>
        <v>0.23082366412213742</v>
      </c>
      <c r="W127" s="224">
        <f t="shared" si="193"/>
        <v>0.17620127032224231</v>
      </c>
      <c r="X127" s="204">
        <f t="shared" si="194"/>
        <v>350</v>
      </c>
      <c r="Y127" s="455">
        <f t="shared" si="195"/>
        <v>350</v>
      </c>
      <c r="AA127" s="224">
        <f t="shared" si="196"/>
        <v>0.29459717771406085</v>
      </c>
      <c r="AB127" s="180">
        <f t="shared" si="197"/>
        <v>1.2368583797155226</v>
      </c>
      <c r="AC127" s="180">
        <f t="shared" si="198"/>
        <v>0.1275312457636627</v>
      </c>
      <c r="AD127" s="180"/>
      <c r="AE127" s="180">
        <f t="shared" si="199"/>
        <v>1.217557251908397</v>
      </c>
      <c r="AF127" s="564">
        <f t="shared" si="200"/>
        <v>48.146146362555392</v>
      </c>
      <c r="AG127" s="547">
        <f t="shared" si="201"/>
        <v>0.1235820610687023</v>
      </c>
      <c r="AI127" s="180">
        <f t="shared" si="202"/>
        <v>0.10755850114626536</v>
      </c>
      <c r="AJ127" s="180">
        <f t="shared" si="203"/>
        <v>0.28999999999999998</v>
      </c>
      <c r="AK127" s="180">
        <f t="shared" si="204"/>
        <v>1.0275120836357459</v>
      </c>
      <c r="AM127" s="564">
        <f t="shared" si="205"/>
        <v>17</v>
      </c>
      <c r="AN127" s="473">
        <f t="shared" si="206"/>
        <v>48.146146362555392</v>
      </c>
      <c r="AP127" s="473">
        <f t="shared" si="207"/>
        <v>17</v>
      </c>
      <c r="AQ127" s="473">
        <f t="shared" si="208"/>
        <v>48.146146362555392</v>
      </c>
      <c r="AS127" s="5">
        <f t="shared" si="158"/>
        <v>20.770094297260894</v>
      </c>
      <c r="AT127" s="5">
        <f t="shared" si="209"/>
        <v>1.5949999999999998</v>
      </c>
      <c r="AU127" s="5">
        <f t="shared" si="210"/>
        <v>19.175094297260895</v>
      </c>
      <c r="AV127" s="5"/>
      <c r="AW127" s="180">
        <f t="shared" si="211"/>
        <v>7.6793103448275835E-2</v>
      </c>
      <c r="AX127" s="180">
        <f t="shared" si="138"/>
        <v>0.11134999999999998</v>
      </c>
      <c r="AY127" s="180">
        <f t="shared" si="139"/>
        <v>0.26772999999999997</v>
      </c>
      <c r="AZ127" s="180">
        <f t="shared" si="161"/>
        <v>0.41590408247114624</v>
      </c>
      <c r="BD127" s="180">
        <f t="shared" si="162"/>
        <v>4.6397916619894321E-2</v>
      </c>
      <c r="BE127" s="180">
        <f t="shared" si="142"/>
        <v>0.32174876327138641</v>
      </c>
      <c r="BG127" s="547">
        <f t="shared" si="212"/>
        <v>7.5346833333333281E-4</v>
      </c>
      <c r="BH127" s="547">
        <f t="shared" si="213"/>
        <v>3.2253103448275857E-3</v>
      </c>
      <c r="BI127" s="547">
        <f t="shared" si="214"/>
        <v>6.0182682953194234E-4</v>
      </c>
      <c r="BJ127" s="547">
        <f t="shared" si="215"/>
        <v>1.4772477467300828E-3</v>
      </c>
      <c r="BK127">
        <f t="shared" si="216"/>
        <v>2.8999999999999998E-3</v>
      </c>
      <c r="BL127" s="473">
        <f t="shared" si="217"/>
        <v>8.9578532544229432</v>
      </c>
      <c r="BM127" s="547">
        <f t="shared" si="218"/>
        <v>5.9500000000000004E-3</v>
      </c>
      <c r="BP127" s="473">
        <f t="shared" si="219"/>
        <v>5.95</v>
      </c>
      <c r="BQ127" s="547">
        <f t="shared" si="220"/>
        <v>2.368043333333332E-4</v>
      </c>
      <c r="BR127" s="547">
        <f t="shared" si="221"/>
        <v>3.6232793333333332E-3</v>
      </c>
      <c r="BS127" s="547">
        <f t="shared" si="222"/>
        <v>3.6422422546950139E-5</v>
      </c>
      <c r="BT127" s="547">
        <f t="shared" si="223"/>
        <v>4.0490909090909084E-3</v>
      </c>
      <c r="BU127" s="473">
        <f t="shared" si="224"/>
        <v>7.9455969983045254</v>
      </c>
      <c r="BV127" s="180">
        <f t="shared" si="225"/>
        <v>2.2853450252727468E-2</v>
      </c>
      <c r="BW127" s="5">
        <f t="shared" si="226"/>
        <v>0.1071</v>
      </c>
      <c r="BX127" s="180">
        <f t="shared" si="227"/>
        <v>0.82414125820989637</v>
      </c>
      <c r="BY127" s="5">
        <f t="shared" si="228"/>
        <v>82.414125820989639</v>
      </c>
      <c r="CB127" s="582">
        <f t="shared" si="229"/>
        <v>-50</v>
      </c>
      <c r="CC127">
        <f t="shared" si="230"/>
        <v>-50</v>
      </c>
    </row>
    <row r="128" spans="5:81" x14ac:dyDescent="0.25">
      <c r="E128" s="177">
        <v>18</v>
      </c>
      <c r="F128" s="224">
        <f t="shared" si="231"/>
        <v>1.7999999999999999E-2</v>
      </c>
      <c r="G128" s="224"/>
      <c r="H128" s="224">
        <f t="shared" si="182"/>
        <v>0.11339999999999999</v>
      </c>
      <c r="I128" s="560">
        <f t="shared" si="183"/>
        <v>10</v>
      </c>
      <c r="J128" s="455">
        <f t="shared" si="184"/>
        <v>13.1</v>
      </c>
      <c r="K128" s="455">
        <f t="shared" si="185"/>
        <v>23.1</v>
      </c>
      <c r="L128" s="455"/>
      <c r="M128" s="224">
        <f t="shared" si="186"/>
        <v>0.5670995670995671</v>
      </c>
      <c r="N128" s="179">
        <f t="shared" si="232"/>
        <v>3.7003246753246755</v>
      </c>
      <c r="O128" s="179">
        <f t="shared" si="156"/>
        <v>0.11339999999999999</v>
      </c>
      <c r="P128" s="224">
        <f t="shared" si="187"/>
        <v>0.58735312306740883</v>
      </c>
      <c r="Q128" s="224">
        <f t="shared" si="188"/>
        <v>6.3</v>
      </c>
      <c r="R128" s="224"/>
      <c r="S128" s="179">
        <f t="shared" si="189"/>
        <v>357.50349402597288</v>
      </c>
      <c r="T128" s="179">
        <f t="shared" si="190"/>
        <v>6.3</v>
      </c>
      <c r="U128" s="224">
        <f t="shared" si="191"/>
        <v>4.4436641221374043E-2</v>
      </c>
      <c r="V128" s="224">
        <f t="shared" si="192"/>
        <v>0.24440152671755727</v>
      </c>
      <c r="W128" s="224">
        <f t="shared" si="193"/>
        <v>0.18656605092943301</v>
      </c>
      <c r="X128" s="204">
        <f t="shared" si="194"/>
        <v>350</v>
      </c>
      <c r="Y128" s="455">
        <f t="shared" si="195"/>
        <v>350</v>
      </c>
      <c r="AA128" s="224">
        <f t="shared" si="196"/>
        <v>0.29459717771406085</v>
      </c>
      <c r="AB128" s="180">
        <f t="shared" si="197"/>
        <v>1.2368583797155226</v>
      </c>
      <c r="AC128" s="180">
        <f t="shared" si="198"/>
        <v>0.1275312457636627</v>
      </c>
      <c r="AD128" s="180"/>
      <c r="AE128" s="180">
        <f t="shared" si="199"/>
        <v>1.217557251908397</v>
      </c>
      <c r="AF128" s="564">
        <f t="shared" si="200"/>
        <v>50.978272619176295</v>
      </c>
      <c r="AG128" s="547">
        <f t="shared" si="201"/>
        <v>0.1235820610687023</v>
      </c>
      <c r="AI128" s="180">
        <f t="shared" si="202"/>
        <v>0.11067678459980054</v>
      </c>
      <c r="AJ128" s="180">
        <f t="shared" si="203"/>
        <v>0.28999999999999998</v>
      </c>
      <c r="AK128" s="180">
        <f t="shared" si="204"/>
        <v>1.0291304414966722</v>
      </c>
      <c r="AM128" s="564">
        <f t="shared" si="205"/>
        <v>18</v>
      </c>
      <c r="AN128" s="473">
        <f t="shared" si="206"/>
        <v>50.978272619176295</v>
      </c>
      <c r="AP128" s="473">
        <f t="shared" si="207"/>
        <v>18</v>
      </c>
      <c r="AQ128" s="473">
        <f t="shared" si="208"/>
        <v>50.978272619176295</v>
      </c>
      <c r="AS128" s="5">
        <f t="shared" si="158"/>
        <v>19.616200169635288</v>
      </c>
      <c r="AT128" s="5">
        <f t="shared" si="209"/>
        <v>1.5949999999999998</v>
      </c>
      <c r="AU128" s="5">
        <f t="shared" si="210"/>
        <v>18.021200169635289</v>
      </c>
      <c r="AV128" s="5"/>
      <c r="AW128" s="180">
        <f t="shared" si="211"/>
        <v>8.1310344827586173E-2</v>
      </c>
      <c r="AX128" s="180">
        <f t="shared" si="138"/>
        <v>0.11789999999999998</v>
      </c>
      <c r="AY128" s="180">
        <f t="shared" si="139"/>
        <v>0.26641999999999999</v>
      </c>
      <c r="AZ128" s="180">
        <f t="shared" si="161"/>
        <v>0.44253434426844823</v>
      </c>
      <c r="BD128" s="180">
        <f t="shared" si="162"/>
        <v>4.7743062323231826E-2</v>
      </c>
      <c r="BE128" s="180">
        <f t="shared" si="142"/>
        <v>0.32096064140846509</v>
      </c>
      <c r="BG128" s="547">
        <f t="shared" si="212"/>
        <v>7.9778999999999939E-4</v>
      </c>
      <c r="BH128" s="547">
        <f t="shared" si="213"/>
        <v>3.4150344827586204E-3</v>
      </c>
      <c r="BI128" s="547">
        <f t="shared" si="214"/>
        <v>6.3722840773970365E-4</v>
      </c>
      <c r="BJ128" s="547">
        <f t="shared" si="215"/>
        <v>1.5641446730083229E-3</v>
      </c>
      <c r="BK128">
        <f t="shared" si="216"/>
        <v>2.8999999999999998E-3</v>
      </c>
      <c r="BL128" s="473">
        <f t="shared" si="217"/>
        <v>9.3141975635066458</v>
      </c>
      <c r="BM128" s="547">
        <f t="shared" si="218"/>
        <v>6.2999999999999992E-3</v>
      </c>
      <c r="BP128" s="473">
        <f t="shared" si="219"/>
        <v>6.2999999999999989</v>
      </c>
      <c r="BQ128" s="547">
        <f t="shared" si="220"/>
        <v>2.507339999999998E-4</v>
      </c>
      <c r="BR128" s="547">
        <f t="shared" si="221"/>
        <v>3.6055506666666667E-3</v>
      </c>
      <c r="BS128" s="547">
        <f t="shared" si="222"/>
        <v>4.2017265772353948E-5</v>
      </c>
      <c r="BT128" s="547">
        <f t="shared" si="223"/>
        <v>4.2872727272727264E-3</v>
      </c>
      <c r="BU128" s="473">
        <f t="shared" si="224"/>
        <v>8.1855746597117456</v>
      </c>
      <c r="BV128" s="180">
        <f t="shared" si="225"/>
        <v>2.3799772223218389E-2</v>
      </c>
      <c r="BW128" s="5">
        <f t="shared" si="226"/>
        <v>0.11339999999999999</v>
      </c>
      <c r="BX128" s="180">
        <f t="shared" si="227"/>
        <v>0.8265319844372836</v>
      </c>
      <c r="BY128" s="5">
        <f t="shared" si="228"/>
        <v>82.653198443728357</v>
      </c>
      <c r="CB128" s="582">
        <f t="shared" si="229"/>
        <v>-50</v>
      </c>
      <c r="CC128">
        <f t="shared" si="230"/>
        <v>-50</v>
      </c>
    </row>
    <row r="129" spans="5:81" x14ac:dyDescent="0.25">
      <c r="E129" s="177">
        <v>19</v>
      </c>
      <c r="F129" s="224">
        <f t="shared" si="231"/>
        <v>1.9000000000000003E-2</v>
      </c>
      <c r="G129" s="224"/>
      <c r="H129" s="224">
        <f t="shared" si="182"/>
        <v>0.11970000000000001</v>
      </c>
      <c r="I129" s="560">
        <f t="shared" si="183"/>
        <v>10</v>
      </c>
      <c r="J129" s="455">
        <f t="shared" si="184"/>
        <v>13.1</v>
      </c>
      <c r="K129" s="455">
        <f t="shared" si="185"/>
        <v>23.1</v>
      </c>
      <c r="L129" s="455"/>
      <c r="M129" s="224">
        <f t="shared" si="186"/>
        <v>0.5670995670995671</v>
      </c>
      <c r="N129" s="179">
        <f t="shared" si="232"/>
        <v>3.7003246753246755</v>
      </c>
      <c r="O129" s="179">
        <f t="shared" si="156"/>
        <v>0.11970000000000001</v>
      </c>
      <c r="P129" s="224">
        <f t="shared" si="187"/>
        <v>0.58735312306740883</v>
      </c>
      <c r="Q129" s="224">
        <f t="shared" si="188"/>
        <v>6.3</v>
      </c>
      <c r="R129" s="224"/>
      <c r="S129" s="179">
        <f t="shared" si="189"/>
        <v>338.42474348843797</v>
      </c>
      <c r="T129" s="179">
        <f t="shared" si="190"/>
        <v>6.3</v>
      </c>
      <c r="U129" s="224">
        <f t="shared" si="191"/>
        <v>4.6905343511450384E-2</v>
      </c>
      <c r="V129" s="224">
        <f t="shared" si="192"/>
        <v>0.25797938931297715</v>
      </c>
      <c r="W129" s="224">
        <f t="shared" si="193"/>
        <v>0.19693083153662377</v>
      </c>
      <c r="X129" s="204">
        <f t="shared" si="194"/>
        <v>350</v>
      </c>
      <c r="Y129" s="455">
        <f t="shared" si="195"/>
        <v>350</v>
      </c>
      <c r="AA129" s="224">
        <f t="shared" si="196"/>
        <v>0.29459717771406085</v>
      </c>
      <c r="AB129" s="180">
        <f t="shared" si="197"/>
        <v>1.2368583797155226</v>
      </c>
      <c r="AC129" s="180">
        <f t="shared" si="198"/>
        <v>0.1275312457636627</v>
      </c>
      <c r="AD129" s="180"/>
      <c r="AE129" s="180">
        <f t="shared" si="199"/>
        <v>1.217557251908397</v>
      </c>
      <c r="AF129" s="564">
        <f t="shared" si="200"/>
        <v>53.810398875797212</v>
      </c>
      <c r="AG129" s="547">
        <f t="shared" si="201"/>
        <v>0.1235820610687023</v>
      </c>
      <c r="AI129" s="180">
        <f t="shared" si="202"/>
        <v>0.11370958679843195</v>
      </c>
      <c r="AJ129" s="180">
        <f t="shared" si="203"/>
        <v>0.28999999999999998</v>
      </c>
      <c r="AK129" s="180">
        <f t="shared" si="204"/>
        <v>1.0307487993575983</v>
      </c>
      <c r="AM129" s="564">
        <f t="shared" si="205"/>
        <v>19.000000000000004</v>
      </c>
      <c r="AN129" s="473">
        <f t="shared" si="206"/>
        <v>53.810398875797212</v>
      </c>
      <c r="AP129" s="473">
        <f t="shared" si="207"/>
        <v>19.000000000000004</v>
      </c>
      <c r="AQ129" s="473">
        <f t="shared" si="208"/>
        <v>53.810398875797212</v>
      </c>
      <c r="AS129" s="5">
        <f t="shared" si="158"/>
        <v>18.583768581759742</v>
      </c>
      <c r="AT129" s="5">
        <f t="shared" si="209"/>
        <v>1.5949999999999998</v>
      </c>
      <c r="AU129" s="5">
        <f t="shared" si="210"/>
        <v>16.988768581759743</v>
      </c>
      <c r="AV129" s="5"/>
      <c r="AW129" s="180">
        <f t="shared" si="211"/>
        <v>8.5827586206896539E-2</v>
      </c>
      <c r="AX129" s="180">
        <f t="shared" si="138"/>
        <v>0.12444999999999999</v>
      </c>
      <c r="AY129" s="180">
        <f t="shared" si="139"/>
        <v>0.26510999999999996</v>
      </c>
      <c r="AZ129" s="180">
        <f t="shared" si="161"/>
        <v>0.46942778469314628</v>
      </c>
      <c r="BD129" s="180">
        <f t="shared" si="162"/>
        <v>4.905133365499182E-2</v>
      </c>
      <c r="BE129" s="180">
        <f t="shared" si="142"/>
        <v>0.32017057953534706</v>
      </c>
      <c r="BG129" s="547">
        <f t="shared" si="212"/>
        <v>8.4211166666666663E-4</v>
      </c>
      <c r="BH129" s="547">
        <f t="shared" si="213"/>
        <v>3.6047586206896551E-3</v>
      </c>
      <c r="BI129" s="547">
        <f t="shared" si="214"/>
        <v>6.7262998594746506E-4</v>
      </c>
      <c r="BJ129" s="547">
        <f t="shared" si="215"/>
        <v>1.6510415992865635E-3</v>
      </c>
      <c r="BK129">
        <f t="shared" si="216"/>
        <v>2.8999999999999998E-3</v>
      </c>
      <c r="BL129" s="473">
        <f t="shared" si="217"/>
        <v>9.6705418725903503</v>
      </c>
      <c r="BM129" s="547">
        <f t="shared" si="218"/>
        <v>6.6500000000000005E-3</v>
      </c>
      <c r="BP129" s="473">
        <f t="shared" si="219"/>
        <v>6.65</v>
      </c>
      <c r="BQ129" s="547">
        <f t="shared" si="220"/>
        <v>2.6466366666666664E-4</v>
      </c>
      <c r="BR129" s="547">
        <f t="shared" si="221"/>
        <v>3.5878220000000001E-3</v>
      </c>
      <c r="BS129" s="547">
        <f t="shared" si="222"/>
        <v>4.8098388662128596E-5</v>
      </c>
      <c r="BT129" s="547">
        <f t="shared" si="223"/>
        <v>4.525454545454546E-3</v>
      </c>
      <c r="BU129" s="473">
        <f t="shared" si="224"/>
        <v>8.4260386007833414</v>
      </c>
      <c r="BV129" s="180">
        <f t="shared" si="225"/>
        <v>2.4746580473373699E-2</v>
      </c>
      <c r="BW129" s="5">
        <f t="shared" si="226"/>
        <v>0.11970000000000001</v>
      </c>
      <c r="BX129" s="180">
        <f t="shared" si="227"/>
        <v>0.82868005326069094</v>
      </c>
      <c r="BY129" s="5">
        <f t="shared" si="228"/>
        <v>82.868005326069095</v>
      </c>
      <c r="CB129" s="582">
        <f t="shared" si="229"/>
        <v>-50</v>
      </c>
      <c r="CC129">
        <f t="shared" si="230"/>
        <v>-50</v>
      </c>
    </row>
    <row r="130" spans="5:81" x14ac:dyDescent="0.25">
      <c r="E130" s="177">
        <v>20</v>
      </c>
      <c r="F130" s="224">
        <f t="shared" si="231"/>
        <v>2.0000000000000004E-2</v>
      </c>
      <c r="G130" s="224"/>
      <c r="H130" s="224">
        <f t="shared" si="182"/>
        <v>0.12600000000000003</v>
      </c>
      <c r="I130" s="560">
        <f t="shared" si="183"/>
        <v>10</v>
      </c>
      <c r="J130" s="455">
        <f t="shared" si="184"/>
        <v>13.1</v>
      </c>
      <c r="K130" s="455">
        <f t="shared" si="185"/>
        <v>23.1</v>
      </c>
      <c r="L130" s="455"/>
      <c r="M130" s="224">
        <f t="shared" si="186"/>
        <v>0.5670995670995671</v>
      </c>
      <c r="N130" s="179">
        <f t="shared" si="232"/>
        <v>3.7003246753246755</v>
      </c>
      <c r="O130" s="179">
        <f t="shared" si="156"/>
        <v>0.12600000000000003</v>
      </c>
      <c r="P130" s="224">
        <f t="shared" si="187"/>
        <v>0.58735312306740883</v>
      </c>
      <c r="Q130" s="224">
        <f t="shared" si="188"/>
        <v>6.3</v>
      </c>
      <c r="R130" s="224"/>
      <c r="S130" s="179">
        <f t="shared" si="189"/>
        <v>321.25388797786508</v>
      </c>
      <c r="T130" s="179">
        <f t="shared" si="190"/>
        <v>6.3</v>
      </c>
      <c r="U130" s="224">
        <f t="shared" si="191"/>
        <v>4.9374045801526725E-2</v>
      </c>
      <c r="V130" s="224">
        <f t="shared" si="192"/>
        <v>0.27155725190839702</v>
      </c>
      <c r="W130" s="224">
        <f t="shared" si="193"/>
        <v>0.20729561214381453</v>
      </c>
      <c r="X130" s="204">
        <f t="shared" si="194"/>
        <v>350</v>
      </c>
      <c r="Y130" s="455">
        <f t="shared" si="195"/>
        <v>350</v>
      </c>
      <c r="AA130" s="224">
        <f t="shared" si="196"/>
        <v>0.29459717771406085</v>
      </c>
      <c r="AB130" s="180">
        <f t="shared" si="197"/>
        <v>1.2368583797155226</v>
      </c>
      <c r="AC130" s="180">
        <f t="shared" si="198"/>
        <v>0.1275312457636627</v>
      </c>
      <c r="AD130" s="180"/>
      <c r="AE130" s="180">
        <f t="shared" si="199"/>
        <v>1.217557251908397</v>
      </c>
      <c r="AF130" s="564">
        <f t="shared" si="200"/>
        <v>56.642525132418122</v>
      </c>
      <c r="AG130" s="547">
        <f t="shared" si="201"/>
        <v>0.1235820610687023</v>
      </c>
      <c r="AI130" s="180">
        <f t="shared" si="202"/>
        <v>0.116663574479739</v>
      </c>
      <c r="AJ130" s="180">
        <f t="shared" si="203"/>
        <v>0.28999999999999998</v>
      </c>
      <c r="AK130" s="180">
        <f t="shared" si="204"/>
        <v>1.0323671572185247</v>
      </c>
      <c r="AM130" s="564">
        <f t="shared" si="205"/>
        <v>20.000000000000004</v>
      </c>
      <c r="AN130" s="473">
        <f t="shared" si="206"/>
        <v>56.642525132418122</v>
      </c>
      <c r="AP130" s="473">
        <f t="shared" si="207"/>
        <v>20.000000000000004</v>
      </c>
      <c r="AQ130" s="473">
        <f t="shared" si="208"/>
        <v>56.642525132418122</v>
      </c>
      <c r="AS130" s="5">
        <f t="shared" si="158"/>
        <v>17.654580152671752</v>
      </c>
      <c r="AT130" s="5">
        <f t="shared" si="209"/>
        <v>1.5949999999999998</v>
      </c>
      <c r="AU130" s="5">
        <f t="shared" si="210"/>
        <v>16.059580152671753</v>
      </c>
      <c r="AV130" s="5"/>
      <c r="AW130" s="180">
        <f t="shared" si="211"/>
        <v>9.0344827586206905E-2</v>
      </c>
      <c r="AX130" s="180">
        <f t="shared" si="138"/>
        <v>0.13100000000000001</v>
      </c>
      <c r="AY130" s="180">
        <f t="shared" si="139"/>
        <v>0.26379999999999998</v>
      </c>
      <c r="AZ130" s="180">
        <f t="shared" si="161"/>
        <v>0.49658832448824874</v>
      </c>
      <c r="BD130" s="180">
        <f t="shared" si="162"/>
        <v>5.0325606470927563E-2</v>
      </c>
      <c r="BE130" s="180">
        <f t="shared" si="142"/>
        <v>0.31937856325474734</v>
      </c>
      <c r="BG130" s="547">
        <f t="shared" si="212"/>
        <v>8.8643333333333311E-4</v>
      </c>
      <c r="BH130" s="547">
        <f t="shared" si="213"/>
        <v>3.7944827586206898E-3</v>
      </c>
      <c r="BI130" s="547">
        <f t="shared" si="214"/>
        <v>7.0803156415522647E-4</v>
      </c>
      <c r="BJ130" s="547">
        <f t="shared" si="215"/>
        <v>1.737938525564804E-3</v>
      </c>
      <c r="BK130">
        <f t="shared" si="216"/>
        <v>2.8999999999999998E-3</v>
      </c>
      <c r="BL130" s="473">
        <f t="shared" si="217"/>
        <v>10.026886181674053</v>
      </c>
      <c r="BM130" s="547">
        <f t="shared" si="218"/>
        <v>7.000000000000001E-3</v>
      </c>
      <c r="BP130" s="473">
        <f t="shared" si="219"/>
        <v>7.0000000000000009</v>
      </c>
      <c r="BQ130" s="547">
        <f t="shared" si="220"/>
        <v>2.7859333333333326E-4</v>
      </c>
      <c r="BR130" s="547">
        <f t="shared" si="221"/>
        <v>3.570093333333333E-3</v>
      </c>
      <c r="BS130" s="547">
        <f t="shared" si="222"/>
        <v>5.4679119709165604E-5</v>
      </c>
      <c r="BT130" s="547">
        <f t="shared" si="223"/>
        <v>4.763636363636364E-3</v>
      </c>
      <c r="BU130" s="473">
        <f t="shared" si="224"/>
        <v>8.6670021500121948</v>
      </c>
      <c r="BV130" s="180">
        <f t="shared" si="225"/>
        <v>2.5693888331686253E-2</v>
      </c>
      <c r="BW130" s="5">
        <f t="shared" si="226"/>
        <v>0.12600000000000003</v>
      </c>
      <c r="BX130" s="180">
        <f t="shared" si="227"/>
        <v>0.83062014815319862</v>
      </c>
      <c r="BY130" s="5">
        <f t="shared" si="228"/>
        <v>83.062014815319856</v>
      </c>
      <c r="CB130" s="582">
        <f t="shared" si="229"/>
        <v>-50</v>
      </c>
      <c r="CC130">
        <f t="shared" si="230"/>
        <v>-50</v>
      </c>
    </row>
    <row r="131" spans="5:81" x14ac:dyDescent="0.25">
      <c r="E131" s="177">
        <v>21</v>
      </c>
      <c r="F131" s="224">
        <f t="shared" si="231"/>
        <v>2.1000000000000001E-2</v>
      </c>
      <c r="G131" s="224"/>
      <c r="H131" s="224">
        <f t="shared" si="182"/>
        <v>0.1323</v>
      </c>
      <c r="I131" s="560">
        <f t="shared" si="183"/>
        <v>10</v>
      </c>
      <c r="J131" s="455">
        <f t="shared" si="184"/>
        <v>13.1</v>
      </c>
      <c r="K131" s="455">
        <f t="shared" si="185"/>
        <v>23.1</v>
      </c>
      <c r="L131" s="455"/>
      <c r="M131" s="224">
        <f t="shared" si="186"/>
        <v>0.5670995670995671</v>
      </c>
      <c r="N131" s="179">
        <f t="shared" si="232"/>
        <v>3.7003246753246755</v>
      </c>
      <c r="O131" s="179">
        <f t="shared" si="156"/>
        <v>0.1323</v>
      </c>
      <c r="P131" s="224">
        <f t="shared" si="187"/>
        <v>0.58735312306740883</v>
      </c>
      <c r="Q131" s="224">
        <f t="shared" si="188"/>
        <v>6.3</v>
      </c>
      <c r="R131" s="224"/>
      <c r="S131" s="179">
        <f t="shared" si="189"/>
        <v>305.71837110388168</v>
      </c>
      <c r="T131" s="179">
        <f t="shared" si="190"/>
        <v>6.3</v>
      </c>
      <c r="U131" s="224">
        <f t="shared" si="191"/>
        <v>5.1842748091603053E-2</v>
      </c>
      <c r="V131" s="224">
        <f t="shared" si="192"/>
        <v>0.28513511450381684</v>
      </c>
      <c r="W131" s="224">
        <f t="shared" si="193"/>
        <v>0.21766039275100521</v>
      </c>
      <c r="X131" s="204">
        <f t="shared" si="194"/>
        <v>350</v>
      </c>
      <c r="Y131" s="455">
        <f t="shared" si="195"/>
        <v>350</v>
      </c>
      <c r="AA131" s="224">
        <f t="shared" si="196"/>
        <v>0.29459717771406085</v>
      </c>
      <c r="AB131" s="180">
        <f t="shared" si="197"/>
        <v>1.2368583797155226</v>
      </c>
      <c r="AC131" s="180">
        <f t="shared" si="198"/>
        <v>0.1275312457636627</v>
      </c>
      <c r="AD131" s="180"/>
      <c r="AE131" s="180">
        <f t="shared" si="199"/>
        <v>1.217557251908397</v>
      </c>
      <c r="AF131" s="564">
        <f t="shared" si="200"/>
        <v>59.474651389039018</v>
      </c>
      <c r="AG131" s="547">
        <f t="shared" si="201"/>
        <v>0.1235820610687023</v>
      </c>
      <c r="AI131" s="180">
        <f t="shared" si="202"/>
        <v>0.11954459038747463</v>
      </c>
      <c r="AJ131" s="180">
        <f t="shared" si="203"/>
        <v>0.28999999999999998</v>
      </c>
      <c r="AK131" s="180">
        <f t="shared" si="204"/>
        <v>1.0339855150794508</v>
      </c>
      <c r="AM131" s="564">
        <f t="shared" si="205"/>
        <v>21</v>
      </c>
      <c r="AN131" s="473">
        <f t="shared" si="206"/>
        <v>59.474651389039018</v>
      </c>
      <c r="AP131" s="473">
        <f t="shared" si="207"/>
        <v>21</v>
      </c>
      <c r="AQ131" s="473">
        <f t="shared" si="208"/>
        <v>59.474651389039018</v>
      </c>
      <c r="AS131" s="5">
        <f t="shared" si="158"/>
        <v>16.813885859687389</v>
      </c>
      <c r="AT131" s="5">
        <f t="shared" si="209"/>
        <v>1.5949999999999998</v>
      </c>
      <c r="AU131" s="5">
        <f t="shared" si="210"/>
        <v>15.21888585968739</v>
      </c>
      <c r="AV131" s="5"/>
      <c r="AW131" s="180">
        <f t="shared" si="211"/>
        <v>9.4862068965517216E-2</v>
      </c>
      <c r="AX131" s="180">
        <f t="shared" si="138"/>
        <v>0.13754999999999998</v>
      </c>
      <c r="AY131" s="180">
        <f t="shared" si="139"/>
        <v>0.26249</v>
      </c>
      <c r="AZ131" s="180">
        <f t="shared" si="161"/>
        <v>0.52401996266524431</v>
      </c>
      <c r="BD131" s="180">
        <f t="shared" si="162"/>
        <v>5.1568401177465244E-2</v>
      </c>
      <c r="BE131" s="180">
        <f t="shared" si="142"/>
        <v>0.31858457799041895</v>
      </c>
      <c r="BG131" s="547">
        <f t="shared" si="212"/>
        <v>9.3075499999999947E-4</v>
      </c>
      <c r="BH131" s="547">
        <f t="shared" si="213"/>
        <v>3.984206896551724E-3</v>
      </c>
      <c r="BI131" s="547">
        <f t="shared" si="214"/>
        <v>7.4343314236298766E-4</v>
      </c>
      <c r="BJ131" s="547">
        <f t="shared" si="215"/>
        <v>1.8248354518430436E-3</v>
      </c>
      <c r="BK131">
        <f t="shared" si="216"/>
        <v>2.8999999999999998E-3</v>
      </c>
      <c r="BL131" s="473">
        <f t="shared" si="217"/>
        <v>10.383230490757754</v>
      </c>
      <c r="BM131" s="547">
        <f t="shared" si="218"/>
        <v>7.3499999999999998E-3</v>
      </c>
      <c r="BP131" s="473">
        <f t="shared" si="219"/>
        <v>7.35</v>
      </c>
      <c r="BQ131" s="547">
        <f t="shared" si="220"/>
        <v>2.9252299999999983E-4</v>
      </c>
      <c r="BR131" s="547">
        <f t="shared" si="221"/>
        <v>3.5523646666666669E-3</v>
      </c>
      <c r="BS131" s="547">
        <f t="shared" si="222"/>
        <v>6.1772440796337898E-5</v>
      </c>
      <c r="BT131" s="547">
        <f t="shared" si="223"/>
        <v>5.0018181818181819E-3</v>
      </c>
      <c r="BU131" s="473">
        <f t="shared" si="224"/>
        <v>8.9084782892811862</v>
      </c>
      <c r="BV131" s="180">
        <f t="shared" si="225"/>
        <v>2.6641708780038943E-2</v>
      </c>
      <c r="BW131" s="5">
        <f t="shared" si="226"/>
        <v>0.1323</v>
      </c>
      <c r="BX131" s="180">
        <f t="shared" si="227"/>
        <v>0.83238063196546686</v>
      </c>
      <c r="BY131" s="5">
        <f t="shared" si="228"/>
        <v>83.23806319654669</v>
      </c>
      <c r="CB131" s="582">
        <f t="shared" si="229"/>
        <v>-50</v>
      </c>
      <c r="CC131">
        <f t="shared" si="230"/>
        <v>-50</v>
      </c>
    </row>
    <row r="132" spans="5:81" x14ac:dyDescent="0.25">
      <c r="E132" s="177">
        <v>22</v>
      </c>
      <c r="F132" s="224">
        <f t="shared" si="231"/>
        <v>2.2000000000000002E-2</v>
      </c>
      <c r="G132" s="224"/>
      <c r="H132" s="224">
        <f t="shared" si="182"/>
        <v>0.1386</v>
      </c>
      <c r="I132" s="560">
        <f t="shared" si="183"/>
        <v>10</v>
      </c>
      <c r="J132" s="455">
        <f t="shared" si="184"/>
        <v>13.1</v>
      </c>
      <c r="K132" s="455">
        <f t="shared" si="185"/>
        <v>23.1</v>
      </c>
      <c r="L132" s="455"/>
      <c r="M132" s="224">
        <f t="shared" si="186"/>
        <v>0.5670995670995671</v>
      </c>
      <c r="N132" s="179">
        <f t="shared" si="232"/>
        <v>3.7003246753246755</v>
      </c>
      <c r="O132" s="179">
        <f t="shared" si="156"/>
        <v>0.1386</v>
      </c>
      <c r="P132" s="224">
        <f t="shared" si="187"/>
        <v>0.58735312306740883</v>
      </c>
      <c r="Q132" s="224">
        <f t="shared" si="188"/>
        <v>6.3</v>
      </c>
      <c r="R132" s="224"/>
      <c r="S132" s="179">
        <f t="shared" si="189"/>
        <v>291.59519218356741</v>
      </c>
      <c r="T132" s="179">
        <f t="shared" si="190"/>
        <v>6.3</v>
      </c>
      <c r="U132" s="224">
        <f t="shared" si="191"/>
        <v>5.4311450381679387E-2</v>
      </c>
      <c r="V132" s="224">
        <f t="shared" si="192"/>
        <v>0.29871297709923667</v>
      </c>
      <c r="W132" s="224">
        <f t="shared" si="193"/>
        <v>0.22802517335819592</v>
      </c>
      <c r="X132" s="204">
        <f t="shared" si="194"/>
        <v>350</v>
      </c>
      <c r="Y132" s="455">
        <f t="shared" si="195"/>
        <v>350</v>
      </c>
      <c r="AA132" s="224">
        <f t="shared" si="196"/>
        <v>0.29459717771406085</v>
      </c>
      <c r="AB132" s="180">
        <f t="shared" si="197"/>
        <v>1.2368583797155226</v>
      </c>
      <c r="AC132" s="180">
        <f t="shared" si="198"/>
        <v>0.1275312457636627</v>
      </c>
      <c r="AD132" s="180"/>
      <c r="AE132" s="180">
        <f t="shared" si="199"/>
        <v>1.217557251908397</v>
      </c>
      <c r="AF132" s="564">
        <f t="shared" si="200"/>
        <v>62.30677764565992</v>
      </c>
      <c r="AG132" s="547">
        <f t="shared" si="201"/>
        <v>0.1235820610687023</v>
      </c>
      <c r="AI132" s="180">
        <f t="shared" si="202"/>
        <v>0.12235778917350776</v>
      </c>
      <c r="AJ132" s="180">
        <f t="shared" si="203"/>
        <v>0.28999999999999998</v>
      </c>
      <c r="AK132" s="180">
        <f t="shared" si="204"/>
        <v>1.0356038729403771</v>
      </c>
      <c r="AM132" s="564">
        <f t="shared" si="205"/>
        <v>22.000000000000004</v>
      </c>
      <c r="AN132" s="473">
        <f t="shared" si="206"/>
        <v>62.30677764565992</v>
      </c>
      <c r="AP132" s="473">
        <f t="shared" si="207"/>
        <v>22.000000000000004</v>
      </c>
      <c r="AQ132" s="473">
        <f t="shared" si="208"/>
        <v>62.30677764565992</v>
      </c>
      <c r="AS132" s="5">
        <f t="shared" si="158"/>
        <v>16.049618320610691</v>
      </c>
      <c r="AT132" s="5">
        <f t="shared" si="209"/>
        <v>1.5949999999999998</v>
      </c>
      <c r="AU132" s="5">
        <f t="shared" si="210"/>
        <v>14.454618320610692</v>
      </c>
      <c r="AV132" s="5"/>
      <c r="AW132" s="180">
        <f t="shared" si="211"/>
        <v>9.9379310344827554E-2</v>
      </c>
      <c r="AX132" s="180">
        <f t="shared" si="138"/>
        <v>0.14409999999999998</v>
      </c>
      <c r="AY132" s="180">
        <f t="shared" si="139"/>
        <v>0.26118000000000002</v>
      </c>
      <c r="AZ132" s="180">
        <f t="shared" si="161"/>
        <v>0.5517267784669575</v>
      </c>
      <c r="BD132" s="180">
        <f t="shared" si="162"/>
        <v>5.2781941356237851E-2</v>
      </c>
      <c r="BE132" s="180">
        <f t="shared" si="142"/>
        <v>0.31778860898402256</v>
      </c>
      <c r="BG132" s="547">
        <f t="shared" si="212"/>
        <v>9.7507666666666595E-4</v>
      </c>
      <c r="BH132" s="547">
        <f t="shared" si="213"/>
        <v>4.1739310344827574E-3</v>
      </c>
      <c r="BI132" s="547">
        <f t="shared" si="214"/>
        <v>7.7883472057074896E-4</v>
      </c>
      <c r="BJ132" s="547">
        <f t="shared" si="215"/>
        <v>1.9117323781212838E-3</v>
      </c>
      <c r="BK132">
        <f t="shared" si="216"/>
        <v>2.8999999999999998E-3</v>
      </c>
      <c r="BL132" s="473">
        <f t="shared" si="217"/>
        <v>10.739574799841456</v>
      </c>
      <c r="BM132" s="547">
        <f t="shared" si="218"/>
        <v>7.7000000000000002E-3</v>
      </c>
      <c r="BP132" s="473">
        <f t="shared" si="219"/>
        <v>7.7</v>
      </c>
      <c r="BQ132" s="547">
        <f t="shared" si="220"/>
        <v>3.0645266666666645E-4</v>
      </c>
      <c r="BR132" s="547">
        <f t="shared" si="221"/>
        <v>3.5346359999999999E-3</v>
      </c>
      <c r="BS132" s="547">
        <f t="shared" si="222"/>
        <v>6.9391012918964659E-5</v>
      </c>
      <c r="BT132" s="547">
        <f t="shared" si="223"/>
        <v>5.2399999999999999E-3</v>
      </c>
      <c r="BU132" s="473">
        <f t="shared" si="224"/>
        <v>9.1504796795856311</v>
      </c>
      <c r="BV132" s="180">
        <f t="shared" si="225"/>
        <v>2.7590054479427084E-2</v>
      </c>
      <c r="BW132" s="5">
        <f t="shared" si="226"/>
        <v>0.1386</v>
      </c>
      <c r="BX132" s="180">
        <f t="shared" si="227"/>
        <v>0.8339849242732964</v>
      </c>
      <c r="BY132" s="5">
        <f t="shared" si="228"/>
        <v>83.398492427329643</v>
      </c>
      <c r="CB132" s="582">
        <f t="shared" si="229"/>
        <v>-50</v>
      </c>
      <c r="CC132">
        <f t="shared" si="230"/>
        <v>-50</v>
      </c>
    </row>
    <row r="133" spans="5:81" x14ac:dyDescent="0.25">
      <c r="E133" s="177">
        <v>23</v>
      </c>
      <c r="F133" s="224">
        <f t="shared" si="231"/>
        <v>2.3000000000000003E-2</v>
      </c>
      <c r="G133" s="224"/>
      <c r="H133" s="224">
        <f t="shared" si="182"/>
        <v>0.14490000000000003</v>
      </c>
      <c r="I133" s="560">
        <f t="shared" si="183"/>
        <v>10</v>
      </c>
      <c r="J133" s="455">
        <f t="shared" si="184"/>
        <v>13.1</v>
      </c>
      <c r="K133" s="455">
        <f t="shared" si="185"/>
        <v>23.1</v>
      </c>
      <c r="L133" s="455"/>
      <c r="M133" s="224">
        <f t="shared" si="186"/>
        <v>0.5670995670995671</v>
      </c>
      <c r="N133" s="179">
        <f t="shared" si="232"/>
        <v>3.7003246753246755</v>
      </c>
      <c r="O133" s="179">
        <f t="shared" si="156"/>
        <v>0.14490000000000003</v>
      </c>
      <c r="P133" s="224">
        <f t="shared" si="187"/>
        <v>0.58735312306740883</v>
      </c>
      <c r="Q133" s="224">
        <f t="shared" si="188"/>
        <v>6.3</v>
      </c>
      <c r="R133" s="224"/>
      <c r="S133" s="179">
        <f t="shared" si="189"/>
        <v>278.70013326157334</v>
      </c>
      <c r="T133" s="179">
        <f t="shared" si="190"/>
        <v>6.3</v>
      </c>
      <c r="U133" s="224">
        <f t="shared" si="191"/>
        <v>5.6780152671755735E-2</v>
      </c>
      <c r="V133" s="224">
        <f t="shared" si="192"/>
        <v>0.31229083969465654</v>
      </c>
      <c r="W133" s="224">
        <f t="shared" si="193"/>
        <v>0.23838995396538668</v>
      </c>
      <c r="X133" s="204">
        <f t="shared" si="194"/>
        <v>350</v>
      </c>
      <c r="Y133" s="455">
        <f t="shared" si="195"/>
        <v>350</v>
      </c>
      <c r="AA133" s="224">
        <f t="shared" si="196"/>
        <v>0.29459717771406085</v>
      </c>
      <c r="AB133" s="180">
        <f t="shared" si="197"/>
        <v>1.2368583797155226</v>
      </c>
      <c r="AC133" s="180">
        <f t="shared" si="198"/>
        <v>0.1275312457636627</v>
      </c>
      <c r="AD133" s="180"/>
      <c r="AE133" s="180">
        <f t="shared" si="199"/>
        <v>1.217557251908397</v>
      </c>
      <c r="AF133" s="564">
        <f t="shared" si="200"/>
        <v>65.13890390228083</v>
      </c>
      <c r="AG133" s="547">
        <f t="shared" si="201"/>
        <v>0.1235820610687023</v>
      </c>
      <c r="AI133" s="180">
        <f t="shared" si="202"/>
        <v>0.12510774577118738</v>
      </c>
      <c r="AJ133" s="180">
        <f t="shared" si="203"/>
        <v>0.28999999999999998</v>
      </c>
      <c r="AK133" s="180">
        <f t="shared" si="204"/>
        <v>1.0372222308013033</v>
      </c>
      <c r="AM133" s="564">
        <f t="shared" si="205"/>
        <v>23.000000000000004</v>
      </c>
      <c r="AN133" s="473">
        <f t="shared" si="206"/>
        <v>65.13890390228083</v>
      </c>
      <c r="AP133" s="473">
        <f t="shared" si="207"/>
        <v>23.000000000000004</v>
      </c>
      <c r="AQ133" s="473">
        <f t="shared" si="208"/>
        <v>65.13890390228083</v>
      </c>
      <c r="AS133" s="5">
        <f t="shared" si="158"/>
        <v>15.351808828410224</v>
      </c>
      <c r="AT133" s="5">
        <f t="shared" si="209"/>
        <v>1.5949999999999998</v>
      </c>
      <c r="AU133" s="5">
        <f t="shared" si="210"/>
        <v>13.756808828410225</v>
      </c>
      <c r="AV133" s="5"/>
      <c r="AW133" s="180">
        <f t="shared" si="211"/>
        <v>0.10389655172413791</v>
      </c>
      <c r="AX133" s="180">
        <f t="shared" ref="AX133:AX196" si="233">0.5*L*AJ133^2*AN133*1000</f>
        <v>0.15065000000000001</v>
      </c>
      <c r="AY133" s="180">
        <f t="shared" ref="AY133:AY196" si="234">AJ133*Nps/2*(1-AW133)</f>
        <v>0.25986999999999999</v>
      </c>
      <c r="AZ133" s="180">
        <f t="shared" si="161"/>
        <v>0.57971293338977181</v>
      </c>
      <c r="BD133" s="180">
        <f t="shared" si="162"/>
        <v>5.3968200513512268E-2</v>
      </c>
      <c r="BE133" s="180">
        <f t="shared" ref="BE133:BE196" si="235">AJ133*Nps*SQRT((1-AW133)/3)</f>
        <v>0.31699064129192628</v>
      </c>
      <c r="BG133" s="547">
        <f t="shared" si="212"/>
        <v>1.0193983333333331E-3</v>
      </c>
      <c r="BH133" s="547">
        <f t="shared" si="213"/>
        <v>4.3636551724137934E-3</v>
      </c>
      <c r="BI133" s="547">
        <f t="shared" si="214"/>
        <v>8.1423629877851037E-4</v>
      </c>
      <c r="BJ133" s="547">
        <f t="shared" si="215"/>
        <v>1.9986293043995243E-3</v>
      </c>
      <c r="BK133">
        <f t="shared" si="216"/>
        <v>2.8999999999999998E-3</v>
      </c>
      <c r="BL133" s="473">
        <f t="shared" si="217"/>
        <v>11.095919108925161</v>
      </c>
      <c r="BM133" s="547">
        <f t="shared" si="218"/>
        <v>8.0499999999999999E-3</v>
      </c>
      <c r="BP133" s="473">
        <f t="shared" si="219"/>
        <v>8.0500000000000007</v>
      </c>
      <c r="BQ133" s="547">
        <f t="shared" si="220"/>
        <v>3.2038233333333324E-4</v>
      </c>
      <c r="BR133" s="547">
        <f t="shared" si="221"/>
        <v>3.5169073333333341E-3</v>
      </c>
      <c r="BS133" s="547">
        <f t="shared" si="222"/>
        <v>7.7547198873784053E-5</v>
      </c>
      <c r="BT133" s="547">
        <f t="shared" si="223"/>
        <v>5.4781818181818187E-3</v>
      </c>
      <c r="BU133" s="473">
        <f t="shared" si="224"/>
        <v>9.3930186837222696</v>
      </c>
      <c r="BV133" s="180">
        <f t="shared" si="225"/>
        <v>2.8538937792647431E-2</v>
      </c>
      <c r="BW133" s="5">
        <f t="shared" si="226"/>
        <v>0.14490000000000003</v>
      </c>
      <c r="BX133" s="180">
        <f t="shared" si="227"/>
        <v>0.83545253357832039</v>
      </c>
      <c r="BY133" s="5">
        <f t="shared" si="228"/>
        <v>83.545253357832038</v>
      </c>
      <c r="CB133" s="582">
        <f t="shared" si="229"/>
        <v>-50</v>
      </c>
      <c r="CC133">
        <f t="shared" si="230"/>
        <v>-50</v>
      </c>
    </row>
    <row r="134" spans="5:81" x14ac:dyDescent="0.25">
      <c r="E134" s="177">
        <v>24</v>
      </c>
      <c r="F134" s="224">
        <f t="shared" si="231"/>
        <v>2.4E-2</v>
      </c>
      <c r="G134" s="224"/>
      <c r="H134" s="224">
        <f t="shared" si="182"/>
        <v>0.1512</v>
      </c>
      <c r="I134" s="560">
        <f t="shared" si="183"/>
        <v>10</v>
      </c>
      <c r="J134" s="455">
        <f t="shared" si="184"/>
        <v>13.1</v>
      </c>
      <c r="K134" s="455">
        <f t="shared" si="185"/>
        <v>23.1</v>
      </c>
      <c r="L134" s="455"/>
      <c r="M134" s="224">
        <f t="shared" si="186"/>
        <v>0.5670995670995671</v>
      </c>
      <c r="N134" s="179">
        <f t="shared" si="232"/>
        <v>3.7003246753246755</v>
      </c>
      <c r="O134" s="179">
        <f t="shared" ref="O134:O197" si="236">T134*F134</f>
        <v>0.1512</v>
      </c>
      <c r="P134" s="224">
        <f t="shared" si="187"/>
        <v>0.58735312306740883</v>
      </c>
      <c r="Q134" s="224">
        <f t="shared" si="188"/>
        <v>6.3</v>
      </c>
      <c r="R134" s="224"/>
      <c r="S134" s="179">
        <f t="shared" si="189"/>
        <v>266.87967937521177</v>
      </c>
      <c r="T134" s="179">
        <f t="shared" si="190"/>
        <v>6.3</v>
      </c>
      <c r="U134" s="224">
        <f t="shared" si="191"/>
        <v>5.9248854961832062E-2</v>
      </c>
      <c r="V134" s="224">
        <f t="shared" si="192"/>
        <v>0.32586870229007636</v>
      </c>
      <c r="W134" s="224">
        <f t="shared" si="193"/>
        <v>0.24875473457257741</v>
      </c>
      <c r="X134" s="204">
        <f t="shared" si="194"/>
        <v>350</v>
      </c>
      <c r="Y134" s="455">
        <f t="shared" si="195"/>
        <v>350</v>
      </c>
      <c r="AA134" s="224">
        <f t="shared" si="196"/>
        <v>0.29459717771406085</v>
      </c>
      <c r="AB134" s="180">
        <f t="shared" si="197"/>
        <v>1.2368583797155226</v>
      </c>
      <c r="AC134" s="180">
        <f t="shared" si="198"/>
        <v>0.1275312457636627</v>
      </c>
      <c r="AD134" s="180"/>
      <c r="AE134" s="180">
        <f t="shared" si="199"/>
        <v>1.217557251908397</v>
      </c>
      <c r="AF134" s="564">
        <f t="shared" si="200"/>
        <v>67.971030158901726</v>
      </c>
      <c r="AG134" s="547">
        <f t="shared" si="201"/>
        <v>0.1235820610687023</v>
      </c>
      <c r="AI134" s="180">
        <f t="shared" si="202"/>
        <v>0.12779854276347416</v>
      </c>
      <c r="AJ134" s="180">
        <f t="shared" si="203"/>
        <v>0.28999999999999998</v>
      </c>
      <c r="AK134" s="180">
        <f t="shared" si="204"/>
        <v>1.0388405886622296</v>
      </c>
      <c r="AM134" s="564">
        <f t="shared" si="205"/>
        <v>24</v>
      </c>
      <c r="AN134" s="473">
        <f t="shared" si="206"/>
        <v>67.971030158901726</v>
      </c>
      <c r="AP134" s="473">
        <f t="shared" si="207"/>
        <v>24</v>
      </c>
      <c r="AQ134" s="473">
        <f t="shared" si="208"/>
        <v>67.971030158901726</v>
      </c>
      <c r="AS134" s="5">
        <f t="shared" ref="AS134:AS197" si="237">1/AN134*1000</f>
        <v>14.712150127226465</v>
      </c>
      <c r="AT134" s="5">
        <f t="shared" si="209"/>
        <v>1.5949999999999998</v>
      </c>
      <c r="AU134" s="5">
        <f t="shared" si="210"/>
        <v>13.117150127226466</v>
      </c>
      <c r="AV134" s="5"/>
      <c r="AW134" s="180">
        <f t="shared" si="211"/>
        <v>0.10841379310344824</v>
      </c>
      <c r="AX134" s="180">
        <f t="shared" si="233"/>
        <v>0.15719999999999998</v>
      </c>
      <c r="AY134" s="180">
        <f t="shared" si="234"/>
        <v>0.25856000000000001</v>
      </c>
      <c r="AZ134" s="180">
        <f t="shared" ref="AZ134:AZ197" si="238">AX134/AY134</f>
        <v>0.60798267326732658</v>
      </c>
      <c r="BD134" s="180">
        <f t="shared" ref="BD134:BD197" si="239">AJ134*SQRT(AW134/3)</f>
        <v>5.5128939768509959E-2</v>
      </c>
      <c r="BE134" s="180">
        <f t="shared" si="235"/>
        <v>0.31619065978193178</v>
      </c>
      <c r="BG134" s="547">
        <f t="shared" si="212"/>
        <v>1.0637199999999996E-3</v>
      </c>
      <c r="BH134" s="547">
        <f t="shared" si="213"/>
        <v>4.5533793103448269E-3</v>
      </c>
      <c r="BI134" s="547">
        <f t="shared" si="214"/>
        <v>8.4963787698627156E-4</v>
      </c>
      <c r="BJ134" s="547">
        <f t="shared" si="215"/>
        <v>2.0855262306777637E-3</v>
      </c>
      <c r="BK134">
        <f t="shared" si="216"/>
        <v>2.8999999999999998E-3</v>
      </c>
      <c r="BL134" s="473">
        <f t="shared" si="217"/>
        <v>11.452263418008862</v>
      </c>
      <c r="BM134" s="547">
        <f t="shared" si="218"/>
        <v>8.3999999999999995E-3</v>
      </c>
      <c r="BP134" s="473">
        <f t="shared" si="219"/>
        <v>8.4</v>
      </c>
      <c r="BQ134" s="547">
        <f t="shared" si="220"/>
        <v>3.3431199999999986E-4</v>
      </c>
      <c r="BR134" s="547">
        <f t="shared" si="221"/>
        <v>3.4991786666666671E-3</v>
      </c>
      <c r="BS134" s="547">
        <f t="shared" si="222"/>
        <v>8.6253083392997629E-5</v>
      </c>
      <c r="BT134" s="547">
        <f t="shared" si="223"/>
        <v>5.7163636363636349E-3</v>
      </c>
      <c r="BU134" s="473">
        <f t="shared" si="224"/>
        <v>9.6361073864232996</v>
      </c>
      <c r="BV134" s="180">
        <f t="shared" si="225"/>
        <v>2.948837080443216E-2</v>
      </c>
      <c r="BW134" s="5">
        <f t="shared" si="226"/>
        <v>0.1512</v>
      </c>
      <c r="BX134" s="180">
        <f t="shared" si="227"/>
        <v>0.83679984122304762</v>
      </c>
      <c r="BY134" s="5">
        <f t="shared" si="228"/>
        <v>83.679984122304759</v>
      </c>
      <c r="CB134" s="582">
        <f t="shared" si="229"/>
        <v>-50</v>
      </c>
      <c r="CC134">
        <f t="shared" si="230"/>
        <v>-50</v>
      </c>
    </row>
    <row r="135" spans="5:81" x14ac:dyDescent="0.25">
      <c r="E135" s="177">
        <v>25</v>
      </c>
      <c r="F135" s="224">
        <f t="shared" si="231"/>
        <v>2.5000000000000001E-2</v>
      </c>
      <c r="G135" s="224"/>
      <c r="H135" s="224">
        <f t="shared" si="182"/>
        <v>0.1575</v>
      </c>
      <c r="I135" s="560">
        <f t="shared" si="183"/>
        <v>10</v>
      </c>
      <c r="J135" s="455">
        <f t="shared" si="184"/>
        <v>13.1</v>
      </c>
      <c r="K135" s="455">
        <f t="shared" si="185"/>
        <v>23.1</v>
      </c>
      <c r="L135" s="455"/>
      <c r="M135" s="224">
        <f t="shared" si="186"/>
        <v>0.5670995670995671</v>
      </c>
      <c r="N135" s="179">
        <f t="shared" si="232"/>
        <v>3.7003246753246755</v>
      </c>
      <c r="O135" s="179">
        <f t="shared" si="236"/>
        <v>0.1575</v>
      </c>
      <c r="P135" s="224">
        <f t="shared" si="187"/>
        <v>0.58735312306740883</v>
      </c>
      <c r="Q135" s="224">
        <f t="shared" si="188"/>
        <v>6.3</v>
      </c>
      <c r="R135" s="224"/>
      <c r="S135" s="179">
        <f t="shared" si="189"/>
        <v>256.00487795592403</v>
      </c>
      <c r="T135" s="179">
        <f t="shared" si="190"/>
        <v>6.3</v>
      </c>
      <c r="U135" s="224">
        <f t="shared" si="191"/>
        <v>6.1717557251908396E-2</v>
      </c>
      <c r="V135" s="224">
        <f t="shared" si="192"/>
        <v>0.33944656488549618</v>
      </c>
      <c r="W135" s="224">
        <f t="shared" si="193"/>
        <v>0.25911951517976806</v>
      </c>
      <c r="X135" s="204">
        <f t="shared" si="194"/>
        <v>350</v>
      </c>
      <c r="Y135" s="455">
        <f t="shared" si="195"/>
        <v>350</v>
      </c>
      <c r="AA135" s="224">
        <f t="shared" si="196"/>
        <v>0.29459717771406085</v>
      </c>
      <c r="AB135" s="180">
        <f t="shared" si="197"/>
        <v>1.2368583797155226</v>
      </c>
      <c r="AC135" s="180">
        <f t="shared" si="198"/>
        <v>0.1275312457636627</v>
      </c>
      <c r="AD135" s="180"/>
      <c r="AE135" s="180">
        <f t="shared" si="199"/>
        <v>1.217557251908397</v>
      </c>
      <c r="AF135" s="564">
        <f t="shared" si="200"/>
        <v>70.803156415522636</v>
      </c>
      <c r="AG135" s="547">
        <f t="shared" si="201"/>
        <v>0.1235820610687023</v>
      </c>
      <c r="AI135" s="180">
        <f t="shared" si="202"/>
        <v>0.13043384151740303</v>
      </c>
      <c r="AJ135" s="180">
        <f t="shared" si="203"/>
        <v>0.28999999999999998</v>
      </c>
      <c r="AK135" s="180">
        <f t="shared" si="204"/>
        <v>1.0404589465231557</v>
      </c>
      <c r="AM135" s="564">
        <f t="shared" si="205"/>
        <v>25</v>
      </c>
      <c r="AN135" s="473">
        <f t="shared" si="206"/>
        <v>70.803156415522636</v>
      </c>
      <c r="AP135" s="473">
        <f t="shared" si="207"/>
        <v>25</v>
      </c>
      <c r="AQ135" s="473">
        <f t="shared" si="208"/>
        <v>70.803156415522636</v>
      </c>
      <c r="AS135" s="5">
        <f t="shared" si="237"/>
        <v>14.123664122137408</v>
      </c>
      <c r="AT135" s="5">
        <f t="shared" si="209"/>
        <v>1.5949999999999998</v>
      </c>
      <c r="AU135" s="5">
        <f t="shared" si="210"/>
        <v>12.528664122137407</v>
      </c>
      <c r="AV135" s="5"/>
      <c r="AW135" s="180">
        <f t="shared" si="211"/>
        <v>0.11293103448275858</v>
      </c>
      <c r="AX135" s="180">
        <f t="shared" si="233"/>
        <v>0.16374999999999998</v>
      </c>
      <c r="AY135" s="180">
        <f t="shared" si="234"/>
        <v>0.25724999999999998</v>
      </c>
      <c r="AZ135" s="180">
        <f t="shared" si="238"/>
        <v>0.63654033041788138</v>
      </c>
      <c r="BD135" s="180">
        <f t="shared" si="239"/>
        <v>5.6265738538948652E-2</v>
      </c>
      <c r="BE135" s="180">
        <f t="shared" si="235"/>
        <v>0.31538864912992665</v>
      </c>
      <c r="BG135" s="547">
        <f t="shared" si="212"/>
        <v>1.108041666666666E-3</v>
      </c>
      <c r="BH135" s="547">
        <f t="shared" si="213"/>
        <v>4.7431034482758611E-3</v>
      </c>
      <c r="BI135" s="547">
        <f t="shared" si="214"/>
        <v>8.8503945519403287E-4</v>
      </c>
      <c r="BJ135" s="547">
        <f t="shared" si="215"/>
        <v>2.1724231569560043E-3</v>
      </c>
      <c r="BK135">
        <f t="shared" si="216"/>
        <v>2.8999999999999998E-3</v>
      </c>
      <c r="BL135" s="473">
        <f t="shared" si="217"/>
        <v>11.808607727092566</v>
      </c>
      <c r="BM135" s="547">
        <f t="shared" si="218"/>
        <v>8.7499999999999991E-3</v>
      </c>
      <c r="BP135" s="473">
        <f t="shared" si="219"/>
        <v>8.7499999999999982</v>
      </c>
      <c r="BQ135" s="547">
        <f t="shared" si="220"/>
        <v>3.4824166666666648E-4</v>
      </c>
      <c r="BR135" s="547">
        <f t="shared" si="221"/>
        <v>3.4814499999999996E-3</v>
      </c>
      <c r="BS135" s="547">
        <f t="shared" si="222"/>
        <v>9.5520491109017935E-5</v>
      </c>
      <c r="BT135" s="547">
        <f t="shared" si="223"/>
        <v>5.9545454545454537E-3</v>
      </c>
      <c r="BU135" s="473">
        <f t="shared" si="224"/>
        <v>9.8797576123211375</v>
      </c>
      <c r="BV135" s="180">
        <f t="shared" si="225"/>
        <v>3.04383653394137E-2</v>
      </c>
      <c r="BW135" s="5">
        <f t="shared" si="226"/>
        <v>0.1575</v>
      </c>
      <c r="BX135" s="180">
        <f t="shared" si="227"/>
        <v>0.83804070401249631</v>
      </c>
      <c r="BY135" s="5">
        <f t="shared" si="228"/>
        <v>83.804070401249632</v>
      </c>
      <c r="CB135" s="582">
        <f t="shared" si="229"/>
        <v>-50</v>
      </c>
      <c r="CC135">
        <f t="shared" si="230"/>
        <v>-50</v>
      </c>
    </row>
    <row r="136" spans="5:81" x14ac:dyDescent="0.25">
      <c r="E136" s="177">
        <v>26</v>
      </c>
      <c r="F136" s="224">
        <f t="shared" si="231"/>
        <v>2.6000000000000002E-2</v>
      </c>
      <c r="G136" s="224"/>
      <c r="H136" s="224">
        <f t="shared" si="182"/>
        <v>0.1638</v>
      </c>
      <c r="I136" s="560">
        <f t="shared" si="183"/>
        <v>10</v>
      </c>
      <c r="J136" s="455">
        <f t="shared" si="184"/>
        <v>13.1</v>
      </c>
      <c r="K136" s="455">
        <f t="shared" si="185"/>
        <v>23.1</v>
      </c>
      <c r="L136" s="455"/>
      <c r="M136" s="224">
        <f t="shared" si="186"/>
        <v>0.5670995670995671</v>
      </c>
      <c r="N136" s="179">
        <f t="shared" si="232"/>
        <v>3.7003246753246755</v>
      </c>
      <c r="O136" s="179">
        <f t="shared" si="236"/>
        <v>0.1638</v>
      </c>
      <c r="P136" s="224">
        <f t="shared" si="187"/>
        <v>0.58735312306740883</v>
      </c>
      <c r="Q136" s="224">
        <f t="shared" si="188"/>
        <v>6.3</v>
      </c>
      <c r="R136" s="224"/>
      <c r="S136" s="179">
        <f t="shared" si="189"/>
        <v>245.96661529194859</v>
      </c>
      <c r="T136" s="179">
        <f t="shared" si="190"/>
        <v>6.3</v>
      </c>
      <c r="U136" s="224">
        <f t="shared" si="191"/>
        <v>6.418625954198473E-2</v>
      </c>
      <c r="V136" s="224">
        <f t="shared" si="192"/>
        <v>0.353024427480916</v>
      </c>
      <c r="W136" s="224">
        <f t="shared" si="193"/>
        <v>0.26948429578695882</v>
      </c>
      <c r="X136" s="204">
        <f t="shared" si="194"/>
        <v>350</v>
      </c>
      <c r="Y136" s="455">
        <f t="shared" si="195"/>
        <v>350</v>
      </c>
      <c r="AA136" s="224">
        <f t="shared" si="196"/>
        <v>0.29459717771406085</v>
      </c>
      <c r="AB136" s="180">
        <f t="shared" si="197"/>
        <v>1.2368583797155226</v>
      </c>
      <c r="AC136" s="180">
        <f t="shared" si="198"/>
        <v>0.1275312457636627</v>
      </c>
      <c r="AD136" s="180"/>
      <c r="AE136" s="180">
        <f t="shared" si="199"/>
        <v>1.217557251908397</v>
      </c>
      <c r="AF136" s="564">
        <f t="shared" si="200"/>
        <v>73.635282672143546</v>
      </c>
      <c r="AG136" s="547">
        <f t="shared" si="201"/>
        <v>0.1235820610687023</v>
      </c>
      <c r="AI136" s="180">
        <f t="shared" si="202"/>
        <v>0.13301694062602137</v>
      </c>
      <c r="AJ136" s="180">
        <f t="shared" si="203"/>
        <v>0.28999999999999998</v>
      </c>
      <c r="AK136" s="180">
        <f t="shared" si="204"/>
        <v>1.0420773043840821</v>
      </c>
      <c r="AM136" s="564">
        <f t="shared" si="205"/>
        <v>26.000000000000004</v>
      </c>
      <c r="AN136" s="473">
        <f t="shared" si="206"/>
        <v>73.635282672143546</v>
      </c>
      <c r="AP136" s="473">
        <f t="shared" si="207"/>
        <v>26.000000000000004</v>
      </c>
      <c r="AQ136" s="473">
        <f t="shared" si="208"/>
        <v>73.635282672143546</v>
      </c>
      <c r="AS136" s="5">
        <f t="shared" si="237"/>
        <v>13.580446271285966</v>
      </c>
      <c r="AT136" s="5">
        <f t="shared" si="209"/>
        <v>1.5949999999999998</v>
      </c>
      <c r="AU136" s="5">
        <f t="shared" si="210"/>
        <v>11.985446271285966</v>
      </c>
      <c r="AV136" s="5"/>
      <c r="AW136" s="180">
        <f t="shared" si="211"/>
        <v>0.11744827586206895</v>
      </c>
      <c r="AX136" s="180">
        <f t="shared" si="233"/>
        <v>0.17029999999999998</v>
      </c>
      <c r="AY136" s="180">
        <f t="shared" si="234"/>
        <v>0.25594</v>
      </c>
      <c r="AZ136" s="180">
        <f t="shared" si="238"/>
        <v>0.66539032585762281</v>
      </c>
      <c r="BD136" s="180">
        <f t="shared" si="239"/>
        <v>5.7380019751361755E-2</v>
      </c>
      <c r="BE136" s="180">
        <f t="shared" si="235"/>
        <v>0.3145845938164592</v>
      </c>
      <c r="BG136" s="547">
        <f t="shared" si="212"/>
        <v>1.1523633333333327E-3</v>
      </c>
      <c r="BH136" s="547">
        <f t="shared" si="213"/>
        <v>4.9328275862068963E-3</v>
      </c>
      <c r="BI136" s="547">
        <f t="shared" si="214"/>
        <v>9.2044103340179428E-4</v>
      </c>
      <c r="BJ136" s="547">
        <f t="shared" si="215"/>
        <v>2.2593200832342446E-3</v>
      </c>
      <c r="BK136">
        <f t="shared" si="216"/>
        <v>2.8999999999999998E-3</v>
      </c>
      <c r="BL136" s="473">
        <f t="shared" si="217"/>
        <v>12.164952036176269</v>
      </c>
      <c r="BM136" s="547">
        <f t="shared" si="218"/>
        <v>9.1000000000000004E-3</v>
      </c>
      <c r="BP136" s="473">
        <f t="shared" si="219"/>
        <v>9.1</v>
      </c>
      <c r="BQ136" s="547">
        <f t="shared" si="220"/>
        <v>3.6217133333333316E-4</v>
      </c>
      <c r="BR136" s="547">
        <f t="shared" si="221"/>
        <v>3.4637213333333322E-3</v>
      </c>
      <c r="BS136" s="547">
        <f t="shared" si="222"/>
        <v>1.0536100266377142E-4</v>
      </c>
      <c r="BT136" s="547">
        <f t="shared" si="223"/>
        <v>6.1927272727272725E-3</v>
      </c>
      <c r="BU136" s="473">
        <f t="shared" si="224"/>
        <v>10.12398094205771</v>
      </c>
      <c r="BV136" s="180">
        <f t="shared" si="225"/>
        <v>3.1388932978233974E-2</v>
      </c>
      <c r="BW136" s="5">
        <f t="shared" si="226"/>
        <v>0.1638</v>
      </c>
      <c r="BX136" s="180">
        <f t="shared" si="227"/>
        <v>0.83918692264312833</v>
      </c>
      <c r="BY136" s="5">
        <f t="shared" si="228"/>
        <v>83.918692264312838</v>
      </c>
      <c r="CB136" s="582">
        <f t="shared" si="229"/>
        <v>-50</v>
      </c>
      <c r="CC136">
        <f t="shared" si="230"/>
        <v>-50</v>
      </c>
    </row>
    <row r="137" spans="5:81" x14ac:dyDescent="0.25">
      <c r="E137" s="177">
        <v>27</v>
      </c>
      <c r="F137" s="224">
        <f t="shared" si="231"/>
        <v>2.7000000000000003E-2</v>
      </c>
      <c r="G137" s="224"/>
      <c r="H137" s="224">
        <f t="shared" si="182"/>
        <v>0.17010000000000003</v>
      </c>
      <c r="I137" s="560">
        <f t="shared" si="183"/>
        <v>10</v>
      </c>
      <c r="J137" s="455">
        <f t="shared" si="184"/>
        <v>13.1</v>
      </c>
      <c r="K137" s="455">
        <f t="shared" si="185"/>
        <v>23.1</v>
      </c>
      <c r="L137" s="455"/>
      <c r="M137" s="224">
        <f t="shared" si="186"/>
        <v>0.5670995670995671</v>
      </c>
      <c r="N137" s="179">
        <f t="shared" si="232"/>
        <v>3.7003246753246755</v>
      </c>
      <c r="O137" s="179">
        <f t="shared" si="236"/>
        <v>0.17010000000000003</v>
      </c>
      <c r="P137" s="224">
        <f t="shared" si="187"/>
        <v>0.58735312306740883</v>
      </c>
      <c r="Q137" s="224">
        <f t="shared" si="188"/>
        <v>6.3</v>
      </c>
      <c r="R137" s="224"/>
      <c r="S137" s="179">
        <f t="shared" si="189"/>
        <v>236.67194266595121</v>
      </c>
      <c r="T137" s="179">
        <f t="shared" si="190"/>
        <v>6.3</v>
      </c>
      <c r="U137" s="224">
        <f t="shared" si="191"/>
        <v>6.6654961832061085E-2</v>
      </c>
      <c r="V137" s="224">
        <f t="shared" si="192"/>
        <v>0.36660229007633599</v>
      </c>
      <c r="W137" s="224">
        <f t="shared" si="193"/>
        <v>0.27984907639414963</v>
      </c>
      <c r="X137" s="204">
        <f t="shared" si="194"/>
        <v>350</v>
      </c>
      <c r="Y137" s="455">
        <f t="shared" si="195"/>
        <v>350</v>
      </c>
      <c r="AA137" s="224">
        <f t="shared" si="196"/>
        <v>0.29459717771406085</v>
      </c>
      <c r="AB137" s="180">
        <f t="shared" si="197"/>
        <v>1.2368583797155226</v>
      </c>
      <c r="AC137" s="180">
        <f t="shared" si="198"/>
        <v>0.1275312457636627</v>
      </c>
      <c r="AD137" s="180"/>
      <c r="AE137" s="180">
        <f t="shared" si="199"/>
        <v>1.217557251908397</v>
      </c>
      <c r="AF137" s="564">
        <f t="shared" si="200"/>
        <v>76.467408928764456</v>
      </c>
      <c r="AG137" s="547">
        <f t="shared" si="201"/>
        <v>0.1235820610687023</v>
      </c>
      <c r="AI137" s="180">
        <f t="shared" si="202"/>
        <v>0.13555082432071733</v>
      </c>
      <c r="AJ137" s="180">
        <f t="shared" si="203"/>
        <v>0.28999999999999998</v>
      </c>
      <c r="AK137" s="180">
        <f t="shared" si="204"/>
        <v>1.0436956622450082</v>
      </c>
      <c r="AM137" s="564">
        <f t="shared" si="205"/>
        <v>27.000000000000004</v>
      </c>
      <c r="AN137" s="473">
        <f t="shared" si="206"/>
        <v>76.467408928764456</v>
      </c>
      <c r="AP137" s="473">
        <f t="shared" si="207"/>
        <v>27.000000000000004</v>
      </c>
      <c r="AQ137" s="473">
        <f t="shared" si="208"/>
        <v>76.467408928764456</v>
      </c>
      <c r="AS137" s="5">
        <f t="shared" si="237"/>
        <v>13.077466779756856</v>
      </c>
      <c r="AT137" s="5">
        <f t="shared" si="209"/>
        <v>1.5949999999999998</v>
      </c>
      <c r="AU137" s="5">
        <f t="shared" si="210"/>
        <v>11.482466779756855</v>
      </c>
      <c r="AV137" s="5"/>
      <c r="AW137" s="180">
        <f t="shared" si="211"/>
        <v>0.1219655172413793</v>
      </c>
      <c r="AX137" s="180">
        <f t="shared" si="233"/>
        <v>0.17684999999999998</v>
      </c>
      <c r="AY137" s="180">
        <f t="shared" si="234"/>
        <v>0.25462999999999997</v>
      </c>
      <c r="AZ137" s="180">
        <f t="shared" si="238"/>
        <v>0.69453717158229589</v>
      </c>
      <c r="BD137" s="180">
        <f t="shared" si="239"/>
        <v>5.8473070724907192E-2</v>
      </c>
      <c r="BE137" s="180">
        <f t="shared" si="235"/>
        <v>0.31377847812323478</v>
      </c>
      <c r="BG137" s="547">
        <f t="shared" si="212"/>
        <v>1.1966849999999994E-3</v>
      </c>
      <c r="BH137" s="547">
        <f t="shared" si="213"/>
        <v>5.1225517241379305E-3</v>
      </c>
      <c r="BI137" s="547">
        <f t="shared" si="214"/>
        <v>9.5584261160955569E-4</v>
      </c>
      <c r="BJ137" s="547">
        <f t="shared" si="215"/>
        <v>2.3462170095124848E-3</v>
      </c>
      <c r="BK137">
        <f t="shared" si="216"/>
        <v>2.8999999999999998E-3</v>
      </c>
      <c r="BL137" s="473">
        <f t="shared" si="217"/>
        <v>12.521296345259971</v>
      </c>
      <c r="BM137" s="547">
        <f t="shared" si="218"/>
        <v>9.4500000000000001E-3</v>
      </c>
      <c r="BP137" s="473">
        <f t="shared" si="219"/>
        <v>9.4499999999999993</v>
      </c>
      <c r="BQ137" s="547">
        <f t="shared" si="220"/>
        <v>3.7610099999999983E-4</v>
      </c>
      <c r="BR137" s="547">
        <f t="shared" si="221"/>
        <v>3.4459926666666669E-3</v>
      </c>
      <c r="BS137" s="547">
        <f t="shared" si="222"/>
        <v>1.1578596922032268E-4</v>
      </c>
      <c r="BT137" s="547">
        <f t="shared" si="223"/>
        <v>6.4309090909090913E-3</v>
      </c>
      <c r="BU137" s="473">
        <f t="shared" si="224"/>
        <v>10.36878872679608</v>
      </c>
      <c r="BV137" s="180">
        <f t="shared" si="225"/>
        <v>3.2340085072056053E-2</v>
      </c>
      <c r="BW137" s="5">
        <f t="shared" si="226"/>
        <v>0.17010000000000003</v>
      </c>
      <c r="BX137" s="180">
        <f t="shared" si="227"/>
        <v>0.84024860955504443</v>
      </c>
      <c r="BY137" s="5">
        <f t="shared" si="228"/>
        <v>84.024860955504437</v>
      </c>
      <c r="CB137" s="582">
        <f t="shared" si="229"/>
        <v>-50</v>
      </c>
      <c r="CC137">
        <f t="shared" si="230"/>
        <v>-50</v>
      </c>
    </row>
    <row r="138" spans="5:81" x14ac:dyDescent="0.25">
      <c r="E138" s="177">
        <v>28</v>
      </c>
      <c r="F138" s="224">
        <f t="shared" si="231"/>
        <v>2.8000000000000004E-2</v>
      </c>
      <c r="G138" s="224"/>
      <c r="H138" s="224">
        <f t="shared" si="182"/>
        <v>0.17640000000000003</v>
      </c>
      <c r="I138" s="560">
        <f t="shared" si="183"/>
        <v>10</v>
      </c>
      <c r="J138" s="455">
        <f t="shared" si="184"/>
        <v>13.1</v>
      </c>
      <c r="K138" s="455">
        <f t="shared" si="185"/>
        <v>23.1</v>
      </c>
      <c r="L138" s="455"/>
      <c r="M138" s="224">
        <f t="shared" si="186"/>
        <v>0.5670995670995671</v>
      </c>
      <c r="N138" s="179">
        <f t="shared" si="232"/>
        <v>3.7003246753246755</v>
      </c>
      <c r="O138" s="179">
        <f t="shared" si="236"/>
        <v>0.17640000000000003</v>
      </c>
      <c r="P138" s="224">
        <f t="shared" si="187"/>
        <v>0.58735312306740883</v>
      </c>
      <c r="Q138" s="224">
        <f t="shared" si="188"/>
        <v>6.3</v>
      </c>
      <c r="R138" s="224"/>
      <c r="S138" s="179">
        <f t="shared" si="189"/>
        <v>228.04118974887768</v>
      </c>
      <c r="T138" s="179">
        <f t="shared" si="190"/>
        <v>6.3</v>
      </c>
      <c r="U138" s="224">
        <f t="shared" si="191"/>
        <v>6.9123664122137413E-2</v>
      </c>
      <c r="V138" s="224">
        <f t="shared" si="192"/>
        <v>0.38018015267175581</v>
      </c>
      <c r="W138" s="224">
        <f t="shared" si="193"/>
        <v>0.29021385700134028</v>
      </c>
      <c r="X138" s="204">
        <f t="shared" si="194"/>
        <v>350</v>
      </c>
      <c r="Y138" s="455">
        <f t="shared" si="195"/>
        <v>350</v>
      </c>
      <c r="AA138" s="224">
        <f t="shared" si="196"/>
        <v>0.29459717771406085</v>
      </c>
      <c r="AB138" s="180">
        <f t="shared" si="197"/>
        <v>1.2368583797155226</v>
      </c>
      <c r="AC138" s="180">
        <f t="shared" si="198"/>
        <v>0.1275312457636627</v>
      </c>
      <c r="AD138" s="180"/>
      <c r="AE138" s="180">
        <f t="shared" si="199"/>
        <v>1.217557251908397</v>
      </c>
      <c r="AF138" s="564">
        <f t="shared" si="200"/>
        <v>79.299535185385366</v>
      </c>
      <c r="AG138" s="547">
        <f t="shared" si="201"/>
        <v>0.1235820610687023</v>
      </c>
      <c r="AI138" s="180">
        <f t="shared" si="202"/>
        <v>0.13803820288074406</v>
      </c>
      <c r="AJ138" s="180">
        <f t="shared" si="203"/>
        <v>0.28999999999999998</v>
      </c>
      <c r="AK138" s="180">
        <f t="shared" si="204"/>
        <v>1.0453140201059345</v>
      </c>
      <c r="AM138" s="564">
        <f t="shared" si="205"/>
        <v>28.000000000000004</v>
      </c>
      <c r="AN138" s="473">
        <f t="shared" si="206"/>
        <v>79.299535185385366</v>
      </c>
      <c r="AP138" s="473">
        <f t="shared" si="207"/>
        <v>28.000000000000004</v>
      </c>
      <c r="AQ138" s="473">
        <f t="shared" si="208"/>
        <v>79.299535185385366</v>
      </c>
      <c r="AS138" s="5">
        <f t="shared" si="237"/>
        <v>12.61041439476554</v>
      </c>
      <c r="AT138" s="5">
        <f t="shared" si="209"/>
        <v>1.5949999999999998</v>
      </c>
      <c r="AU138" s="5">
        <f t="shared" si="210"/>
        <v>11.015414394765539</v>
      </c>
      <c r="AV138" s="5"/>
      <c r="AW138" s="180">
        <f t="shared" si="211"/>
        <v>0.12648275862068964</v>
      </c>
      <c r="AX138" s="180">
        <f t="shared" si="233"/>
        <v>0.18340000000000001</v>
      </c>
      <c r="AY138" s="180">
        <f t="shared" si="234"/>
        <v>0.25331999999999999</v>
      </c>
      <c r="AZ138" s="180">
        <f t="shared" si="238"/>
        <v>0.72398547291962745</v>
      </c>
      <c r="BD138" s="180">
        <f t="shared" si="239"/>
        <v>5.9546060602976347E-2</v>
      </c>
      <c r="BE138" s="180">
        <f t="shared" si="235"/>
        <v>0.31297028612953021</v>
      </c>
      <c r="BG138" s="547">
        <f t="shared" si="212"/>
        <v>1.2410066666666661E-3</v>
      </c>
      <c r="BH138" s="547">
        <f t="shared" si="213"/>
        <v>5.3122758620689657E-3</v>
      </c>
      <c r="BI138" s="547">
        <f t="shared" si="214"/>
        <v>9.9124418981731688E-4</v>
      </c>
      <c r="BJ138" s="547">
        <f t="shared" si="215"/>
        <v>2.4331139357907251E-3</v>
      </c>
      <c r="BK138">
        <f t="shared" si="216"/>
        <v>2.8999999999999998E-3</v>
      </c>
      <c r="BL138" s="473">
        <f t="shared" si="217"/>
        <v>12.877640654343674</v>
      </c>
      <c r="BM138" s="547">
        <f t="shared" si="218"/>
        <v>9.8000000000000014E-3</v>
      </c>
      <c r="BP138" s="473">
        <f t="shared" si="219"/>
        <v>9.8000000000000007</v>
      </c>
      <c r="BQ138" s="547">
        <f t="shared" si="220"/>
        <v>3.9003066666666651E-4</v>
      </c>
      <c r="BR138" s="547">
        <f t="shared" si="221"/>
        <v>3.4282640000000007E-3</v>
      </c>
      <c r="BS138" s="547">
        <f t="shared" si="222"/>
        <v>1.2680652559027891E-4</v>
      </c>
      <c r="BT138" s="547">
        <f t="shared" si="223"/>
        <v>6.6690909090909101E-3</v>
      </c>
      <c r="BU138" s="473">
        <f t="shared" si="224"/>
        <v>10.614192101347856</v>
      </c>
      <c r="BV138" s="180">
        <f t="shared" si="225"/>
        <v>3.3291832755691531E-2</v>
      </c>
      <c r="BW138" s="5">
        <f t="shared" si="226"/>
        <v>0.17640000000000003</v>
      </c>
      <c r="BX138" s="180">
        <f t="shared" si="227"/>
        <v>0.8412344805318227</v>
      </c>
      <c r="BY138" s="5">
        <f t="shared" si="228"/>
        <v>84.123448053182273</v>
      </c>
      <c r="CB138" s="582">
        <f t="shared" si="229"/>
        <v>-50</v>
      </c>
      <c r="CC138">
        <f t="shared" si="230"/>
        <v>-50</v>
      </c>
    </row>
    <row r="139" spans="5:81" x14ac:dyDescent="0.25">
      <c r="E139" s="177">
        <v>29</v>
      </c>
      <c r="F139" s="224">
        <f t="shared" si="231"/>
        <v>2.8999999999999998E-2</v>
      </c>
      <c r="G139" s="224"/>
      <c r="H139" s="224">
        <f t="shared" si="182"/>
        <v>0.18269999999999997</v>
      </c>
      <c r="I139" s="560">
        <f t="shared" si="183"/>
        <v>10</v>
      </c>
      <c r="J139" s="455">
        <f t="shared" si="184"/>
        <v>13.1</v>
      </c>
      <c r="K139" s="455">
        <f t="shared" si="185"/>
        <v>23.1</v>
      </c>
      <c r="L139" s="455"/>
      <c r="M139" s="224">
        <f t="shared" si="186"/>
        <v>0.5670995670995671</v>
      </c>
      <c r="N139" s="179">
        <f t="shared" si="232"/>
        <v>3.7003246753246755</v>
      </c>
      <c r="O139" s="179">
        <f t="shared" si="236"/>
        <v>0.18269999999999997</v>
      </c>
      <c r="P139" s="224">
        <f t="shared" si="187"/>
        <v>0.58735312306740883</v>
      </c>
      <c r="Q139" s="224">
        <f t="shared" si="188"/>
        <v>6.3</v>
      </c>
      <c r="R139" s="224"/>
      <c r="S139" s="179">
        <f t="shared" si="189"/>
        <v>220.00567522266445</v>
      </c>
      <c r="T139" s="179">
        <f t="shared" si="190"/>
        <v>6.3</v>
      </c>
      <c r="U139" s="224">
        <f t="shared" si="191"/>
        <v>7.1592366412213726E-2</v>
      </c>
      <c r="V139" s="224">
        <f t="shared" si="192"/>
        <v>0.39375801526717547</v>
      </c>
      <c r="W139" s="224">
        <f t="shared" si="193"/>
        <v>0.30057863760853093</v>
      </c>
      <c r="X139" s="204">
        <f t="shared" si="194"/>
        <v>350</v>
      </c>
      <c r="Y139" s="455">
        <f t="shared" si="195"/>
        <v>350</v>
      </c>
      <c r="AA139" s="224">
        <f t="shared" si="196"/>
        <v>0.29459717771406085</v>
      </c>
      <c r="AB139" s="180">
        <f t="shared" si="197"/>
        <v>1.2368583797155226</v>
      </c>
      <c r="AC139" s="180">
        <f t="shared" si="198"/>
        <v>0.1275312457636627</v>
      </c>
      <c r="AD139" s="180"/>
      <c r="AE139" s="180">
        <f t="shared" si="199"/>
        <v>1.217557251908397</v>
      </c>
      <c r="AF139" s="564">
        <f t="shared" si="200"/>
        <v>82.131661442006248</v>
      </c>
      <c r="AG139" s="547">
        <f t="shared" si="201"/>
        <v>0.1235820610687023</v>
      </c>
      <c r="AI139" s="180">
        <f t="shared" si="202"/>
        <v>0.14048154659977563</v>
      </c>
      <c r="AJ139" s="180">
        <f t="shared" si="203"/>
        <v>0.28999999999999998</v>
      </c>
      <c r="AK139" s="180">
        <f t="shared" si="204"/>
        <v>1.0469323779668607</v>
      </c>
      <c r="AM139" s="564">
        <f t="shared" si="205"/>
        <v>28.999999999999996</v>
      </c>
      <c r="AN139" s="473">
        <f t="shared" si="206"/>
        <v>82.131661442006248</v>
      </c>
      <c r="AP139" s="473">
        <f t="shared" si="207"/>
        <v>28.999999999999996</v>
      </c>
      <c r="AQ139" s="473">
        <f t="shared" si="208"/>
        <v>82.131661442006248</v>
      </c>
      <c r="AS139" s="5">
        <f t="shared" si="237"/>
        <v>12.175572519083973</v>
      </c>
      <c r="AT139" s="5">
        <f t="shared" si="209"/>
        <v>1.5949999999999998</v>
      </c>
      <c r="AU139" s="5">
        <f t="shared" si="210"/>
        <v>10.580572519083972</v>
      </c>
      <c r="AV139" s="5"/>
      <c r="AW139" s="180">
        <f t="shared" si="211"/>
        <v>0.13099999999999995</v>
      </c>
      <c r="AX139" s="180">
        <f t="shared" si="233"/>
        <v>0.18994999999999995</v>
      </c>
      <c r="AY139" s="180">
        <f t="shared" si="234"/>
        <v>0.25200999999999996</v>
      </c>
      <c r="AZ139" s="180">
        <f t="shared" si="238"/>
        <v>0.75373993095512082</v>
      </c>
      <c r="BD139" s="180">
        <f t="shared" si="239"/>
        <v>6.0600055005475571E-2</v>
      </c>
      <c r="BE139" s="180">
        <f t="shared" si="235"/>
        <v>0.31216000170852554</v>
      </c>
      <c r="BG139" s="547">
        <f t="shared" si="212"/>
        <v>1.2853283333333326E-3</v>
      </c>
      <c r="BH139" s="547">
        <f t="shared" si="213"/>
        <v>5.5019999999999982E-3</v>
      </c>
      <c r="BI139" s="547">
        <f t="shared" si="214"/>
        <v>1.0266457680250781E-3</v>
      </c>
      <c r="BJ139" s="547">
        <f t="shared" si="215"/>
        <v>2.5200108620689649E-3</v>
      </c>
      <c r="BK139">
        <f t="shared" si="216"/>
        <v>2.8999999999999998E-3</v>
      </c>
      <c r="BL139" s="473">
        <f t="shared" si="217"/>
        <v>13.233984963427373</v>
      </c>
      <c r="BM139" s="547">
        <f t="shared" si="218"/>
        <v>1.0149999999999999E-2</v>
      </c>
      <c r="BP139" s="473">
        <f t="shared" si="219"/>
        <v>10.149999999999999</v>
      </c>
      <c r="BQ139" s="547">
        <f t="shared" si="220"/>
        <v>4.0396033333333313E-4</v>
      </c>
      <c r="BR139" s="547">
        <f t="shared" si="221"/>
        <v>3.4105353333333337E-3</v>
      </c>
      <c r="BS139" s="547">
        <f t="shared" si="222"/>
        <v>1.3843360215510058E-4</v>
      </c>
      <c r="BT139" s="547">
        <f t="shared" si="223"/>
        <v>6.9072727272727254E-3</v>
      </c>
      <c r="BU139" s="473">
        <f t="shared" si="224"/>
        <v>10.860201996094494</v>
      </c>
      <c r="BV139" s="180">
        <f t="shared" si="225"/>
        <v>3.4244186959521861E-2</v>
      </c>
      <c r="BW139" s="5">
        <f t="shared" si="226"/>
        <v>0.18269999999999997</v>
      </c>
      <c r="BX139" s="180">
        <f t="shared" si="227"/>
        <v>0.84215208787359097</v>
      </c>
      <c r="BY139" s="5">
        <f t="shared" si="228"/>
        <v>84.215208787359103</v>
      </c>
      <c r="CB139" s="582">
        <f t="shared" si="229"/>
        <v>-50</v>
      </c>
      <c r="CC139">
        <f t="shared" si="230"/>
        <v>-50</v>
      </c>
    </row>
    <row r="140" spans="5:81" x14ac:dyDescent="0.25">
      <c r="E140" s="177">
        <v>30</v>
      </c>
      <c r="F140" s="224">
        <f t="shared" si="231"/>
        <v>0.03</v>
      </c>
      <c r="G140" s="224"/>
      <c r="H140" s="224">
        <f t="shared" si="182"/>
        <v>0.189</v>
      </c>
      <c r="I140" s="560">
        <f t="shared" si="183"/>
        <v>10</v>
      </c>
      <c r="J140" s="455">
        <f t="shared" si="184"/>
        <v>13.1</v>
      </c>
      <c r="K140" s="455">
        <f t="shared" si="185"/>
        <v>23.1</v>
      </c>
      <c r="L140" s="455"/>
      <c r="M140" s="224">
        <f t="shared" si="186"/>
        <v>0.5670995670995671</v>
      </c>
      <c r="N140" s="179">
        <f t="shared" si="232"/>
        <v>3.7003246753246755</v>
      </c>
      <c r="O140" s="179">
        <f t="shared" si="236"/>
        <v>0.189</v>
      </c>
      <c r="P140" s="224">
        <f t="shared" si="187"/>
        <v>0.58735312306740883</v>
      </c>
      <c r="Q140" s="224">
        <f t="shared" si="188"/>
        <v>6.3</v>
      </c>
      <c r="R140" s="224"/>
      <c r="S140" s="179">
        <f t="shared" si="189"/>
        <v>212.50587527840705</v>
      </c>
      <c r="T140" s="179">
        <f t="shared" si="190"/>
        <v>6.3</v>
      </c>
      <c r="U140" s="224">
        <f t="shared" si="191"/>
        <v>7.4061068702290081E-2</v>
      </c>
      <c r="V140" s="224">
        <f t="shared" si="192"/>
        <v>0.40733587786259551</v>
      </c>
      <c r="W140" s="224">
        <f t="shared" si="193"/>
        <v>0.31094341821572175</v>
      </c>
      <c r="X140" s="204">
        <f t="shared" si="194"/>
        <v>350</v>
      </c>
      <c r="Y140" s="455">
        <f t="shared" si="195"/>
        <v>350</v>
      </c>
      <c r="AA140" s="224">
        <f t="shared" si="196"/>
        <v>0.29459717771406085</v>
      </c>
      <c r="AB140" s="180">
        <f t="shared" si="197"/>
        <v>1.2368583797155226</v>
      </c>
      <c r="AC140" s="180">
        <f t="shared" si="198"/>
        <v>0.1275312457636627</v>
      </c>
      <c r="AD140" s="180"/>
      <c r="AE140" s="180">
        <f t="shared" si="199"/>
        <v>1.217557251908397</v>
      </c>
      <c r="AF140" s="564">
        <f t="shared" si="200"/>
        <v>84.963787698627158</v>
      </c>
      <c r="AG140" s="547">
        <f t="shared" si="201"/>
        <v>0.1235820610687023</v>
      </c>
      <c r="AI140" s="180">
        <f t="shared" si="202"/>
        <v>0.14288311452227101</v>
      </c>
      <c r="AJ140" s="180">
        <f t="shared" si="203"/>
        <v>0.28999999999999998</v>
      </c>
      <c r="AK140" s="180">
        <f t="shared" si="204"/>
        <v>1.048550735827787</v>
      </c>
      <c r="AM140" s="564">
        <f t="shared" si="205"/>
        <v>30</v>
      </c>
      <c r="AN140" s="473">
        <f t="shared" si="206"/>
        <v>84.963787698627158</v>
      </c>
      <c r="AP140" s="473">
        <f t="shared" si="207"/>
        <v>30</v>
      </c>
      <c r="AQ140" s="473">
        <f t="shared" si="208"/>
        <v>84.963787698627158</v>
      </c>
      <c r="AS140" s="5">
        <f t="shared" si="237"/>
        <v>11.769720101781173</v>
      </c>
      <c r="AT140" s="5">
        <f t="shared" si="209"/>
        <v>1.5949999999999998</v>
      </c>
      <c r="AU140" s="5">
        <f t="shared" si="210"/>
        <v>10.174720101781173</v>
      </c>
      <c r="AV140" s="5"/>
      <c r="AW140" s="180">
        <f t="shared" si="211"/>
        <v>0.13551724137931029</v>
      </c>
      <c r="AX140" s="180">
        <f t="shared" si="233"/>
        <v>0.19649999999999995</v>
      </c>
      <c r="AY140" s="180">
        <f t="shared" si="234"/>
        <v>0.25069999999999998</v>
      </c>
      <c r="AZ140" s="180">
        <f t="shared" si="238"/>
        <v>0.78380534503390498</v>
      </c>
      <c r="BD140" s="180">
        <f t="shared" si="239"/>
        <v>6.1636028424939884E-2</v>
      </c>
      <c r="BE140" s="180">
        <f t="shared" si="235"/>
        <v>0.31134760852354937</v>
      </c>
      <c r="BG140" s="547">
        <f t="shared" si="212"/>
        <v>1.3296499999999991E-3</v>
      </c>
      <c r="BH140" s="547">
        <f t="shared" si="213"/>
        <v>5.6917241379310342E-3</v>
      </c>
      <c r="BI140" s="547">
        <f t="shared" si="214"/>
        <v>1.0620473462328393E-3</v>
      </c>
      <c r="BJ140" s="547">
        <f t="shared" si="215"/>
        <v>2.6069077883472051E-3</v>
      </c>
      <c r="BK140">
        <f t="shared" si="216"/>
        <v>2.8999999999999998E-3</v>
      </c>
      <c r="BL140" s="473">
        <f t="shared" si="217"/>
        <v>13.590329272511077</v>
      </c>
      <c r="BM140" s="547">
        <f t="shared" si="218"/>
        <v>1.0499999999999999E-2</v>
      </c>
      <c r="BP140" s="473">
        <f t="shared" si="219"/>
        <v>10.499999999999998</v>
      </c>
      <c r="BQ140" s="547">
        <f t="shared" si="220"/>
        <v>4.178899999999997E-4</v>
      </c>
      <c r="BR140" s="547">
        <f t="shared" si="221"/>
        <v>3.3928066666666676E-3</v>
      </c>
      <c r="BS140" s="547">
        <f t="shared" si="222"/>
        <v>1.5067793573101648E-4</v>
      </c>
      <c r="BT140" s="547">
        <f t="shared" si="223"/>
        <v>7.1454545454545442E-3</v>
      </c>
      <c r="BU140" s="473">
        <f t="shared" si="224"/>
        <v>11.106829147852229</v>
      </c>
      <c r="BV140" s="180">
        <f t="shared" si="225"/>
        <v>3.5197158420363306E-2</v>
      </c>
      <c r="BW140" s="5">
        <f t="shared" si="226"/>
        <v>0.189</v>
      </c>
      <c r="BX140" s="180">
        <f t="shared" si="227"/>
        <v>0.8430080083603485</v>
      </c>
      <c r="BY140" s="5">
        <f t="shared" si="228"/>
        <v>84.300800836034853</v>
      </c>
      <c r="CB140" s="582">
        <f t="shared" si="229"/>
        <v>-50</v>
      </c>
      <c r="CC140">
        <f t="shared" si="230"/>
        <v>-50</v>
      </c>
    </row>
    <row r="141" spans="5:81" x14ac:dyDescent="0.25">
      <c r="E141" s="177">
        <v>31</v>
      </c>
      <c r="F141" s="224">
        <f t="shared" si="231"/>
        <v>3.1E-2</v>
      </c>
      <c r="G141" s="224"/>
      <c r="H141" s="224">
        <f t="shared" si="182"/>
        <v>0.1953</v>
      </c>
      <c r="I141" s="560">
        <f t="shared" si="183"/>
        <v>10</v>
      </c>
      <c r="J141" s="455">
        <f t="shared" si="184"/>
        <v>13.1</v>
      </c>
      <c r="K141" s="455">
        <f t="shared" si="185"/>
        <v>23.1</v>
      </c>
      <c r="L141" s="455"/>
      <c r="M141" s="224">
        <f t="shared" si="186"/>
        <v>0.5670995670995671</v>
      </c>
      <c r="N141" s="179">
        <f t="shared" si="232"/>
        <v>3.7003246753246755</v>
      </c>
      <c r="O141" s="179">
        <f t="shared" si="236"/>
        <v>0.1953</v>
      </c>
      <c r="P141" s="224">
        <f t="shared" si="187"/>
        <v>0.58735312306740883</v>
      </c>
      <c r="Q141" s="224">
        <f t="shared" si="188"/>
        <v>6.3</v>
      </c>
      <c r="R141" s="224"/>
      <c r="S141" s="179">
        <f t="shared" si="189"/>
        <v>205.4899465987541</v>
      </c>
      <c r="T141" s="179">
        <f t="shared" si="190"/>
        <v>6.3</v>
      </c>
      <c r="U141" s="224">
        <f t="shared" si="191"/>
        <v>7.6529770992366408E-2</v>
      </c>
      <c r="V141" s="224">
        <f t="shared" si="192"/>
        <v>0.42091374045801533</v>
      </c>
      <c r="W141" s="224">
        <f t="shared" si="193"/>
        <v>0.32130819882291245</v>
      </c>
      <c r="X141" s="204">
        <f t="shared" si="194"/>
        <v>350</v>
      </c>
      <c r="Y141" s="455">
        <f t="shared" si="195"/>
        <v>350</v>
      </c>
      <c r="AA141" s="224">
        <f t="shared" si="196"/>
        <v>0.29459717771406085</v>
      </c>
      <c r="AB141" s="180">
        <f t="shared" si="197"/>
        <v>1.2368583797155226</v>
      </c>
      <c r="AC141" s="180">
        <f t="shared" si="198"/>
        <v>0.1275312457636627</v>
      </c>
      <c r="AD141" s="180"/>
      <c r="AE141" s="180">
        <f t="shared" si="199"/>
        <v>1.217557251908397</v>
      </c>
      <c r="AF141" s="564">
        <f t="shared" si="200"/>
        <v>87.795913955248068</v>
      </c>
      <c r="AG141" s="547">
        <f t="shared" si="201"/>
        <v>0.1235820610687023</v>
      </c>
      <c r="AI141" s="180">
        <f t="shared" si="202"/>
        <v>0.1452449789015231</v>
      </c>
      <c r="AJ141" s="180">
        <f t="shared" si="203"/>
        <v>0.28999999999999998</v>
      </c>
      <c r="AK141" s="180">
        <f t="shared" si="204"/>
        <v>1.0501690936887131</v>
      </c>
      <c r="AM141" s="564">
        <f t="shared" si="205"/>
        <v>31</v>
      </c>
      <c r="AN141" s="473">
        <f t="shared" si="206"/>
        <v>87.795913955248068</v>
      </c>
      <c r="AP141" s="473">
        <f t="shared" si="207"/>
        <v>31</v>
      </c>
      <c r="AQ141" s="473">
        <f t="shared" si="208"/>
        <v>87.795913955248068</v>
      </c>
      <c r="AS141" s="5">
        <f t="shared" si="237"/>
        <v>11.390051711401135</v>
      </c>
      <c r="AT141" s="5">
        <f t="shared" si="209"/>
        <v>1.5949999999999998</v>
      </c>
      <c r="AU141" s="5">
        <f t="shared" si="210"/>
        <v>9.7950517114011362</v>
      </c>
      <c r="AV141" s="5"/>
      <c r="AW141" s="180">
        <f t="shared" si="211"/>
        <v>0.14003448275862063</v>
      </c>
      <c r="AX141" s="180">
        <f t="shared" si="233"/>
        <v>0.20304999999999998</v>
      </c>
      <c r="AY141" s="180">
        <f t="shared" si="234"/>
        <v>0.24939</v>
      </c>
      <c r="AZ141" s="180">
        <f t="shared" si="238"/>
        <v>0.814186615341433</v>
      </c>
      <c r="BD141" s="180">
        <f t="shared" si="239"/>
        <v>6.2654874777094013E-2</v>
      </c>
      <c r="BE141" s="180">
        <f t="shared" si="235"/>
        <v>0.31053309002423557</v>
      </c>
      <c r="BG141" s="547">
        <f t="shared" si="212"/>
        <v>1.373971666666666E-3</v>
      </c>
      <c r="BH141" s="547">
        <f t="shared" si="213"/>
        <v>5.8814482758620685E-3</v>
      </c>
      <c r="BI141" s="547">
        <f t="shared" si="214"/>
        <v>1.0974489244406009E-3</v>
      </c>
      <c r="BJ141" s="547">
        <f t="shared" si="215"/>
        <v>2.6938047146254454E-3</v>
      </c>
      <c r="BK141">
        <f t="shared" si="216"/>
        <v>2.8999999999999998E-3</v>
      </c>
      <c r="BL141" s="473">
        <f t="shared" si="217"/>
        <v>13.94667358159478</v>
      </c>
      <c r="BM141" s="547">
        <f t="shared" si="218"/>
        <v>1.0849999999999999E-2</v>
      </c>
      <c r="BP141" s="473">
        <f t="shared" si="219"/>
        <v>10.849999999999998</v>
      </c>
      <c r="BQ141" s="547">
        <f t="shared" si="220"/>
        <v>4.3181966666666649E-4</v>
      </c>
      <c r="BR141" s="547">
        <f t="shared" si="221"/>
        <v>3.3750780000000001E-3</v>
      </c>
      <c r="BS141" s="547">
        <f t="shared" si="222"/>
        <v>1.6355007950414601E-4</v>
      </c>
      <c r="BT141" s="547">
        <f t="shared" si="223"/>
        <v>7.3836363636363631E-3</v>
      </c>
      <c r="BU141" s="473">
        <f t="shared" si="224"/>
        <v>11.354084109807173</v>
      </c>
      <c r="BV141" s="180">
        <f t="shared" si="225"/>
        <v>3.6150757691401955E-2</v>
      </c>
      <c r="BW141" s="5">
        <f t="shared" si="226"/>
        <v>0.1953</v>
      </c>
      <c r="BX141" s="180">
        <f t="shared" si="227"/>
        <v>0.84380799591245026</v>
      </c>
      <c r="BY141" s="5">
        <f t="shared" si="228"/>
        <v>84.380799591245022</v>
      </c>
      <c r="CB141" s="582">
        <f t="shared" si="229"/>
        <v>-50</v>
      </c>
      <c r="CC141">
        <f t="shared" si="230"/>
        <v>-50</v>
      </c>
    </row>
    <row r="142" spans="5:81" x14ac:dyDescent="0.25">
      <c r="E142" s="177">
        <v>32</v>
      </c>
      <c r="F142" s="224">
        <f t="shared" si="231"/>
        <v>3.2000000000000001E-2</v>
      </c>
      <c r="G142" s="224"/>
      <c r="H142" s="224">
        <f t="shared" ref="H142:H173" si="240">F142*Vout</f>
        <v>0.2016</v>
      </c>
      <c r="I142" s="560">
        <f t="shared" ref="I142:I173" si="241">VIN_min</f>
        <v>10</v>
      </c>
      <c r="J142" s="455">
        <f t="shared" ref="J142:J173" si="242">(T142+Vfwd1)*Nps</f>
        <v>13.1</v>
      </c>
      <c r="K142" s="455">
        <f t="shared" ref="K142:K173" si="243">(Vout+Vfwd1)*Nps+I142</f>
        <v>23.1</v>
      </c>
      <c r="L142" s="455"/>
      <c r="M142" s="224">
        <f t="shared" ref="M142:M173" si="244">(Vout+Vfwd1)*Nps/((Vout+Vfwd1)*Nps+I142)</f>
        <v>0.5670995670995671</v>
      </c>
      <c r="N142" s="179">
        <f t="shared" ref="N142:N173" si="245">M142*I142*Isw_max*0.5*Efficiency</f>
        <v>3.7003246753246755</v>
      </c>
      <c r="O142" s="179">
        <f t="shared" si="236"/>
        <v>0.2016</v>
      </c>
      <c r="P142" s="224">
        <f t="shared" ref="P142:P173" si="246">N142/Vout</f>
        <v>0.58735312306740883</v>
      </c>
      <c r="Q142" s="224">
        <f t="shared" ref="Q142:Q173" si="247">MIN(Vout,N142/F142)</f>
        <v>6.3</v>
      </c>
      <c r="R142" s="224"/>
      <c r="S142" s="179">
        <f t="shared" ref="S142:S173" si="248">(SQRT(Isw_max^2*Nps^2*I142^2+4*Isw_max*F142/Efficiency*(Nps^2*Vfwd1*I142-Nps*I142^2)+4*(F142/Efficiency)^2*Nps^2*Vfwd1^2+8*(F142/Efficiency)^2*Nps*Vfwd1*I142+4*(F142/Efficiency)^2*I142^2)-2*F142/Efficiency*I142-2*F142/Efficiency*Nps*Vfwd1+Isw_max*Nps*I142)/(4*F142/Efficiency*Nps)</f>
        <v>198.91252628110237</v>
      </c>
      <c r="T142" s="179">
        <f t="shared" ref="T142:T173" si="249">MIN(Vout, S142)</f>
        <v>6.3</v>
      </c>
      <c r="U142" s="224">
        <f t="shared" ref="U142:U173" si="250">MIN(2*Vout*F142/(Efficiency*I142*M142), Isw_max)</f>
        <v>7.8998473282442749E-2</v>
      </c>
      <c r="V142" s="224">
        <f t="shared" ref="V142:V173" si="251">L*U142/I142*1000000</f>
        <v>0.43449160305343515</v>
      </c>
      <c r="W142" s="224">
        <f t="shared" ref="W142:W173" si="252">L*U142/J142*1000000</f>
        <v>0.33167297943010315</v>
      </c>
      <c r="X142" s="204">
        <f t="shared" ref="X142:X173" si="253">IF(1/((350000*L)*(1/I142+1/J142))&gt;Isw_min, 350, 0.001/((Isw_min*L)*(1/I142+1/J142)))</f>
        <v>350</v>
      </c>
      <c r="Y142" s="455">
        <f t="shared" si="195"/>
        <v>350</v>
      </c>
      <c r="AA142" s="224">
        <f t="shared" ref="AA142:AA173" si="254">1/((X142*1000*L)*(1/I142+1/J142))</f>
        <v>0.29459717771406085</v>
      </c>
      <c r="AB142" s="180">
        <f t="shared" ref="AB142:AB173" si="255">L*AA142/J142*1000000</f>
        <v>1.2368583797155226</v>
      </c>
      <c r="AC142" s="180">
        <f t="shared" ref="AC142:AC173" si="256">0.5*AB142*AA142*Nps*X142/1000</f>
        <v>0.1275312457636627</v>
      </c>
      <c r="AD142" s="180"/>
      <c r="AE142" s="180">
        <f t="shared" ref="AE142:AE173" si="257">L*Isw_min/J142*1000000</f>
        <v>1.217557251908397</v>
      </c>
      <c r="AF142" s="564">
        <f t="shared" ref="AF142:AF173" si="258">MAX(10000,F142/(0.5*AE142/1000000*Isw_min*Nps))/1000</f>
        <v>90.628040211868978</v>
      </c>
      <c r="AG142" s="547">
        <f t="shared" ref="AG142:AG173" si="259">0.5*AE142/1000000*Isw_min*Nps*X142*1000</f>
        <v>0.1235820610687023</v>
      </c>
      <c r="AI142" s="180">
        <f t="shared" ref="AI142:AI173" si="260">SQRT(F142/(0.5*L/J142*Fsw_DCM*Nps))</f>
        <v>0.1475690461330674</v>
      </c>
      <c r="AJ142" s="180">
        <f t="shared" ref="AJ142:AJ173" si="261">MAX(IF(F142&gt;AC142,U142,AI142),Isw_min)</f>
        <v>0.28999999999999998</v>
      </c>
      <c r="AK142" s="180">
        <f t="shared" ref="AK142:AK173" si="262">IF(F142&gt;AG142, (AJ142-Isw_min)/1.08*0.8+1.2, AF142*0.2/350+1)</f>
        <v>1.0517874515496395</v>
      </c>
      <c r="AM142" s="564">
        <f t="shared" ref="AM142:AM173" si="263">F142*1000</f>
        <v>32</v>
      </c>
      <c r="AN142" s="473">
        <f t="shared" ref="AN142:AN173" si="264">IF(F142&gt;AG142, Y142, AF142)</f>
        <v>90.628040211868978</v>
      </c>
      <c r="AP142" s="473">
        <f t="shared" ref="AP142:AP173" si="265">IF(H142&gt;N142, "",AM142)</f>
        <v>32</v>
      </c>
      <c r="AQ142" s="473">
        <f t="shared" ref="AQ142:AQ173" si="266">IF(H142&gt;N142, "",AN142)</f>
        <v>90.628040211868978</v>
      </c>
      <c r="AS142" s="5">
        <f t="shared" si="237"/>
        <v>11.034112595419849</v>
      </c>
      <c r="AT142" s="5">
        <f t="shared" ref="AT142:AT173" si="267">L*AJ142/I142*1000000</f>
        <v>1.5949999999999998</v>
      </c>
      <c r="AU142" s="5">
        <f t="shared" si="210"/>
        <v>9.43911259541985</v>
      </c>
      <c r="AV142" s="5"/>
      <c r="AW142" s="180">
        <f t="shared" si="211"/>
        <v>0.14455172413793099</v>
      </c>
      <c r="AX142" s="180">
        <f t="shared" si="233"/>
        <v>0.20959999999999998</v>
      </c>
      <c r="AY142" s="180">
        <f t="shared" si="234"/>
        <v>0.24807999999999997</v>
      </c>
      <c r="AZ142" s="180">
        <f t="shared" si="238"/>
        <v>0.84488874556594651</v>
      </c>
      <c r="BD142" s="180">
        <f t="shared" si="239"/>
        <v>6.3657416430975777E-2</v>
      </c>
      <c r="BE142" s="180">
        <f t="shared" si="235"/>
        <v>0.3097164294425897</v>
      </c>
      <c r="BG142" s="547">
        <f t="shared" si="212"/>
        <v>1.4182933333333327E-3</v>
      </c>
      <c r="BH142" s="547">
        <f t="shared" si="213"/>
        <v>6.0711724137931028E-3</v>
      </c>
      <c r="BI142" s="547">
        <f t="shared" si="214"/>
        <v>1.1328505026483623E-3</v>
      </c>
      <c r="BJ142" s="547">
        <f t="shared" si="215"/>
        <v>2.7807016409036856E-3</v>
      </c>
      <c r="BK142">
        <f t="shared" si="216"/>
        <v>2.8999999999999998E-3</v>
      </c>
      <c r="BL142" s="473">
        <f t="shared" si="217"/>
        <v>14.303017890678484</v>
      </c>
      <c r="BM142" s="547">
        <f t="shared" si="218"/>
        <v>1.12E-2</v>
      </c>
      <c r="BP142" s="473">
        <f t="shared" si="219"/>
        <v>11.2</v>
      </c>
      <c r="BQ142" s="547">
        <f t="shared" si="220"/>
        <v>4.4574933333333316E-4</v>
      </c>
      <c r="BR142" s="547">
        <f t="shared" si="221"/>
        <v>3.3573493333333331E-3</v>
      </c>
      <c r="BS142" s="547">
        <f t="shared" si="222"/>
        <v>1.7706041214358241E-4</v>
      </c>
      <c r="BT142" s="547">
        <f t="shared" si="223"/>
        <v>7.6218181818181819E-3</v>
      </c>
      <c r="BU142" s="473">
        <f t="shared" si="224"/>
        <v>11.601977260628431</v>
      </c>
      <c r="BV142" s="180">
        <f t="shared" si="225"/>
        <v>3.7104995151306913E-2</v>
      </c>
      <c r="BW142" s="5">
        <f t="shared" si="226"/>
        <v>0.2016</v>
      </c>
      <c r="BX142" s="180">
        <f t="shared" si="227"/>
        <v>0.84455710644937565</v>
      </c>
      <c r="BY142" s="5">
        <f t="shared" si="228"/>
        <v>84.455710644937568</v>
      </c>
      <c r="CB142" s="582">
        <f t="shared" ref="CB142:CB173" si="268">IF(ABS(F142-Ioutmax_Vinmin)&lt;Iout/200, AN142, -50)</f>
        <v>-50</v>
      </c>
      <c r="CC142">
        <f t="shared" ref="CC142:CC173" si="269">IF(ABS(F142-Ioutmax_Vinmin)&lt;Iout/200, N142*BX142, -50)</f>
        <v>-50</v>
      </c>
    </row>
    <row r="143" spans="5:81" x14ac:dyDescent="0.25">
      <c r="E143" s="177">
        <v>33</v>
      </c>
      <c r="F143" s="224">
        <f t="shared" ref="F143:F174" si="270">IF(PLOT_TYPE=1, E143/100*Iout_max, min_I*EXP(N143*rr/100))</f>
        <v>3.3000000000000002E-2</v>
      </c>
      <c r="G143" s="224"/>
      <c r="H143" s="224">
        <f t="shared" si="240"/>
        <v>0.2079</v>
      </c>
      <c r="I143" s="560">
        <f t="shared" si="241"/>
        <v>10</v>
      </c>
      <c r="J143" s="455">
        <f t="shared" si="242"/>
        <v>13.1</v>
      </c>
      <c r="K143" s="455">
        <f t="shared" si="243"/>
        <v>23.1</v>
      </c>
      <c r="L143" s="455"/>
      <c r="M143" s="224">
        <f t="shared" si="244"/>
        <v>0.5670995670995671</v>
      </c>
      <c r="N143" s="179">
        <f t="shared" si="245"/>
        <v>3.7003246753246755</v>
      </c>
      <c r="O143" s="179">
        <f t="shared" si="236"/>
        <v>0.2079</v>
      </c>
      <c r="P143" s="224">
        <f t="shared" si="246"/>
        <v>0.58735312306740883</v>
      </c>
      <c r="Q143" s="224">
        <f t="shared" si="247"/>
        <v>6.3</v>
      </c>
      <c r="R143" s="224"/>
      <c r="S143" s="179">
        <f t="shared" si="248"/>
        <v>192.73374995657457</v>
      </c>
      <c r="T143" s="179">
        <f t="shared" si="249"/>
        <v>6.3</v>
      </c>
      <c r="U143" s="224">
        <f t="shared" si="250"/>
        <v>8.146717557251909E-2</v>
      </c>
      <c r="V143" s="224">
        <f t="shared" si="251"/>
        <v>0.44806946564885503</v>
      </c>
      <c r="W143" s="224">
        <f t="shared" si="252"/>
        <v>0.34203776003729391</v>
      </c>
      <c r="X143" s="204">
        <f t="shared" si="253"/>
        <v>350</v>
      </c>
      <c r="Y143" s="455">
        <f t="shared" si="195"/>
        <v>350</v>
      </c>
      <c r="AA143" s="224">
        <f t="shared" si="254"/>
        <v>0.29459717771406085</v>
      </c>
      <c r="AB143" s="180">
        <f t="shared" si="255"/>
        <v>1.2368583797155226</v>
      </c>
      <c r="AC143" s="180">
        <f t="shared" si="256"/>
        <v>0.1275312457636627</v>
      </c>
      <c r="AD143" s="180"/>
      <c r="AE143" s="180">
        <f t="shared" si="257"/>
        <v>1.217557251908397</v>
      </c>
      <c r="AF143" s="564">
        <f t="shared" si="258"/>
        <v>93.460166468489888</v>
      </c>
      <c r="AG143" s="547">
        <f t="shared" si="259"/>
        <v>0.1235820610687023</v>
      </c>
      <c r="AI143" s="180">
        <f t="shared" si="260"/>
        <v>0.14985707476506691</v>
      </c>
      <c r="AJ143" s="180">
        <f t="shared" si="261"/>
        <v>0.28999999999999998</v>
      </c>
      <c r="AK143" s="180">
        <f t="shared" si="262"/>
        <v>1.0534058094105656</v>
      </c>
      <c r="AM143" s="564">
        <f t="shared" si="263"/>
        <v>33</v>
      </c>
      <c r="AN143" s="473">
        <f t="shared" si="264"/>
        <v>93.460166468489888</v>
      </c>
      <c r="AP143" s="473">
        <f t="shared" si="265"/>
        <v>33</v>
      </c>
      <c r="AQ143" s="473">
        <f t="shared" si="266"/>
        <v>93.460166468489888</v>
      </c>
      <c r="AS143" s="5">
        <f t="shared" si="237"/>
        <v>10.699745547073793</v>
      </c>
      <c r="AT143" s="5">
        <f t="shared" si="267"/>
        <v>1.5949999999999998</v>
      </c>
      <c r="AU143" s="5">
        <f t="shared" si="210"/>
        <v>9.1047455470737937</v>
      </c>
      <c r="AV143" s="5"/>
      <c r="AW143" s="180">
        <f t="shared" si="211"/>
        <v>0.14906896551724133</v>
      </c>
      <c r="AX143" s="180">
        <f t="shared" si="233"/>
        <v>0.21615000000000001</v>
      </c>
      <c r="AY143" s="180">
        <f t="shared" si="234"/>
        <v>0.24676999999999999</v>
      </c>
      <c r="AZ143" s="180">
        <f t="shared" si="238"/>
        <v>0.87591684564574313</v>
      </c>
      <c r="BD143" s="180">
        <f t="shared" si="239"/>
        <v>6.4644411978143926E-2</v>
      </c>
      <c r="BE143" s="180">
        <f t="shared" si="235"/>
        <v>0.30889760978896119</v>
      </c>
      <c r="BG143" s="547">
        <f t="shared" si="212"/>
        <v>1.4626149999999991E-3</v>
      </c>
      <c r="BH143" s="547">
        <f t="shared" si="213"/>
        <v>6.260896551724137E-3</v>
      </c>
      <c r="BI143" s="547">
        <f t="shared" si="214"/>
        <v>1.1682520808561237E-3</v>
      </c>
      <c r="BJ143" s="547">
        <f t="shared" si="215"/>
        <v>2.8675985671819258E-3</v>
      </c>
      <c r="BK143">
        <f t="shared" si="216"/>
        <v>2.8999999999999998E-3</v>
      </c>
      <c r="BL143" s="473">
        <f t="shared" si="217"/>
        <v>14.659362199762185</v>
      </c>
      <c r="BM143" s="547">
        <f t="shared" si="218"/>
        <v>1.155E-2</v>
      </c>
      <c r="BP143" s="473">
        <f t="shared" si="219"/>
        <v>11.549999999999999</v>
      </c>
      <c r="BQ143" s="547">
        <f t="shared" si="220"/>
        <v>4.5967899999999973E-4</v>
      </c>
      <c r="BR143" s="547">
        <f t="shared" si="221"/>
        <v>3.3396206666666669E-3</v>
      </c>
      <c r="BS143" s="547">
        <f t="shared" si="222"/>
        <v>1.9121914618463134E-4</v>
      </c>
      <c r="BT143" s="547">
        <f t="shared" si="223"/>
        <v>7.8599999999999989E-3</v>
      </c>
      <c r="BU143" s="473">
        <f t="shared" si="224"/>
        <v>11.850518812851298</v>
      </c>
      <c r="BV143" s="180">
        <f t="shared" si="225"/>
        <v>3.8059881012613483E-2</v>
      </c>
      <c r="BW143" s="5">
        <f t="shared" si="226"/>
        <v>0.2079</v>
      </c>
      <c r="BX143" s="180">
        <f t="shared" si="227"/>
        <v>0.84525980068000739</v>
      </c>
      <c r="BY143" s="5">
        <f t="shared" si="228"/>
        <v>84.525980068000734</v>
      </c>
      <c r="CB143" s="582">
        <f t="shared" si="268"/>
        <v>-50</v>
      </c>
      <c r="CC143">
        <f t="shared" si="269"/>
        <v>-50</v>
      </c>
    </row>
    <row r="144" spans="5:81" x14ac:dyDescent="0.25">
      <c r="E144" s="177">
        <v>34</v>
      </c>
      <c r="F144" s="224">
        <f t="shared" si="270"/>
        <v>3.4000000000000002E-2</v>
      </c>
      <c r="G144" s="224"/>
      <c r="H144" s="224">
        <f t="shared" si="240"/>
        <v>0.2142</v>
      </c>
      <c r="I144" s="560">
        <f t="shared" si="241"/>
        <v>10</v>
      </c>
      <c r="J144" s="455">
        <f t="shared" si="242"/>
        <v>13.1</v>
      </c>
      <c r="K144" s="455">
        <f t="shared" si="243"/>
        <v>23.1</v>
      </c>
      <c r="L144" s="455"/>
      <c r="M144" s="224">
        <f t="shared" si="244"/>
        <v>0.5670995670995671</v>
      </c>
      <c r="N144" s="179">
        <f t="shared" si="245"/>
        <v>3.7003246753246755</v>
      </c>
      <c r="O144" s="179">
        <f t="shared" si="236"/>
        <v>0.2142</v>
      </c>
      <c r="P144" s="224">
        <f t="shared" si="246"/>
        <v>0.58735312306740883</v>
      </c>
      <c r="Q144" s="224">
        <f t="shared" si="247"/>
        <v>6.3</v>
      </c>
      <c r="R144" s="224"/>
      <c r="S144" s="179">
        <f t="shared" si="248"/>
        <v>186.91844318211878</v>
      </c>
      <c r="T144" s="179">
        <f t="shared" si="249"/>
        <v>6.3</v>
      </c>
      <c r="U144" s="224">
        <f t="shared" si="250"/>
        <v>8.3935877862595418E-2</v>
      </c>
      <c r="V144" s="224">
        <f t="shared" si="251"/>
        <v>0.46164732824427485</v>
      </c>
      <c r="W144" s="224">
        <f t="shared" si="252"/>
        <v>0.35240254064448462</v>
      </c>
      <c r="X144" s="204">
        <f t="shared" si="253"/>
        <v>350</v>
      </c>
      <c r="Y144" s="455">
        <f t="shared" si="195"/>
        <v>350</v>
      </c>
      <c r="AA144" s="224">
        <f t="shared" si="254"/>
        <v>0.29459717771406085</v>
      </c>
      <c r="AB144" s="180">
        <f t="shared" si="255"/>
        <v>1.2368583797155226</v>
      </c>
      <c r="AC144" s="180">
        <f t="shared" si="256"/>
        <v>0.1275312457636627</v>
      </c>
      <c r="AD144" s="180"/>
      <c r="AE144" s="180">
        <f t="shared" si="257"/>
        <v>1.217557251908397</v>
      </c>
      <c r="AF144" s="564">
        <f t="shared" si="258"/>
        <v>96.292292725110784</v>
      </c>
      <c r="AG144" s="547">
        <f t="shared" si="259"/>
        <v>0.1235820610687023</v>
      </c>
      <c r="AI144" s="180">
        <f t="shared" si="260"/>
        <v>0.15211069106957056</v>
      </c>
      <c r="AJ144" s="180">
        <f t="shared" si="261"/>
        <v>0.28999999999999998</v>
      </c>
      <c r="AK144" s="180">
        <f t="shared" si="262"/>
        <v>1.055024167271492</v>
      </c>
      <c r="AM144" s="564">
        <f t="shared" si="263"/>
        <v>34</v>
      </c>
      <c r="AN144" s="473">
        <f t="shared" si="264"/>
        <v>96.292292725110784</v>
      </c>
      <c r="AP144" s="473">
        <f t="shared" si="265"/>
        <v>34</v>
      </c>
      <c r="AQ144" s="473">
        <f t="shared" si="266"/>
        <v>96.292292725110784</v>
      </c>
      <c r="AS144" s="5">
        <f t="shared" si="237"/>
        <v>10.385047148630447</v>
      </c>
      <c r="AT144" s="5">
        <f t="shared" si="267"/>
        <v>1.5949999999999998</v>
      </c>
      <c r="AU144" s="5">
        <f t="shared" si="210"/>
        <v>8.7900471486304461</v>
      </c>
      <c r="AV144" s="5"/>
      <c r="AW144" s="180">
        <f t="shared" si="211"/>
        <v>0.15358620689655167</v>
      </c>
      <c r="AX144" s="180">
        <f t="shared" si="233"/>
        <v>0.22269999999999995</v>
      </c>
      <c r="AY144" s="180">
        <f t="shared" si="234"/>
        <v>0.24546000000000001</v>
      </c>
      <c r="AZ144" s="180">
        <f t="shared" si="238"/>
        <v>0.90727613460441592</v>
      </c>
      <c r="BD144" s="180">
        <f t="shared" si="239"/>
        <v>6.5616562949710577E-2</v>
      </c>
      <c r="BE144" s="180">
        <f t="shared" si="235"/>
        <v>0.30807661384791929</v>
      </c>
      <c r="BG144" s="547">
        <f t="shared" si="212"/>
        <v>1.5069366666666656E-3</v>
      </c>
      <c r="BH144" s="547">
        <f t="shared" si="213"/>
        <v>6.4506206896551713E-3</v>
      </c>
      <c r="BI144" s="547">
        <f t="shared" si="214"/>
        <v>1.2036536590638847E-3</v>
      </c>
      <c r="BJ144" s="547">
        <f t="shared" si="215"/>
        <v>2.9544954934601656E-3</v>
      </c>
      <c r="BK144">
        <f t="shared" si="216"/>
        <v>2.8999999999999998E-3</v>
      </c>
      <c r="BL144" s="473">
        <f t="shared" si="217"/>
        <v>15.015706508845886</v>
      </c>
      <c r="BM144" s="547">
        <f t="shared" si="218"/>
        <v>1.1900000000000001E-2</v>
      </c>
      <c r="BP144" s="473">
        <f t="shared" si="219"/>
        <v>11.9</v>
      </c>
      <c r="BQ144" s="547">
        <f t="shared" si="220"/>
        <v>4.7360866666666641E-4</v>
      </c>
      <c r="BR144" s="547">
        <f t="shared" si="221"/>
        <v>3.3218919999999995E-3</v>
      </c>
      <c r="BS144" s="547">
        <f t="shared" si="222"/>
        <v>2.0603633576152182E-4</v>
      </c>
      <c r="BT144" s="547">
        <f t="shared" si="223"/>
        <v>8.0981818181818169E-3</v>
      </c>
      <c r="BU144" s="473">
        <f t="shared" si="224"/>
        <v>12.099718820610004</v>
      </c>
      <c r="BV144" s="180">
        <f t="shared" si="225"/>
        <v>3.9015425329455893E-2</v>
      </c>
      <c r="BW144" s="5">
        <f t="shared" si="226"/>
        <v>0.2142</v>
      </c>
      <c r="BX144" s="180">
        <f t="shared" si="227"/>
        <v>0.84592002924508514</v>
      </c>
      <c r="BY144" s="5">
        <f t="shared" si="228"/>
        <v>84.59200292450852</v>
      </c>
      <c r="CB144" s="582">
        <f t="shared" si="268"/>
        <v>-50</v>
      </c>
      <c r="CC144">
        <f t="shared" si="269"/>
        <v>-50</v>
      </c>
    </row>
    <row r="145" spans="5:81" x14ac:dyDescent="0.25">
      <c r="E145" s="177">
        <v>35</v>
      </c>
      <c r="F145" s="224">
        <f t="shared" si="270"/>
        <v>3.4999999999999996E-2</v>
      </c>
      <c r="G145" s="224"/>
      <c r="H145" s="224">
        <f t="shared" si="240"/>
        <v>0.22049999999999997</v>
      </c>
      <c r="I145" s="560">
        <f t="shared" si="241"/>
        <v>10</v>
      </c>
      <c r="J145" s="455">
        <f t="shared" si="242"/>
        <v>13.1</v>
      </c>
      <c r="K145" s="455">
        <f t="shared" si="243"/>
        <v>23.1</v>
      </c>
      <c r="L145" s="455"/>
      <c r="M145" s="224">
        <f t="shared" si="244"/>
        <v>0.5670995670995671</v>
      </c>
      <c r="N145" s="179">
        <f t="shared" si="245"/>
        <v>3.7003246753246755</v>
      </c>
      <c r="O145" s="179">
        <f t="shared" si="236"/>
        <v>0.22049999999999997</v>
      </c>
      <c r="P145" s="224">
        <f t="shared" si="246"/>
        <v>0.58735312306740883</v>
      </c>
      <c r="Q145" s="224">
        <f t="shared" si="247"/>
        <v>6.3</v>
      </c>
      <c r="R145" s="224"/>
      <c r="S145" s="179">
        <f t="shared" si="248"/>
        <v>181.435451451105</v>
      </c>
      <c r="T145" s="179">
        <f t="shared" si="249"/>
        <v>6.3</v>
      </c>
      <c r="U145" s="224">
        <f t="shared" si="250"/>
        <v>8.6404580152671745E-2</v>
      </c>
      <c r="V145" s="224">
        <f t="shared" si="251"/>
        <v>0.47522519083969461</v>
      </c>
      <c r="W145" s="224">
        <f t="shared" si="252"/>
        <v>0.36276732125167527</v>
      </c>
      <c r="X145" s="204">
        <f t="shared" si="253"/>
        <v>350</v>
      </c>
      <c r="Y145" s="455">
        <f t="shared" si="195"/>
        <v>350</v>
      </c>
      <c r="AA145" s="224">
        <f t="shared" si="254"/>
        <v>0.29459717771406085</v>
      </c>
      <c r="AB145" s="180">
        <f t="shared" si="255"/>
        <v>1.2368583797155226</v>
      </c>
      <c r="AC145" s="180">
        <f t="shared" si="256"/>
        <v>0.1275312457636627</v>
      </c>
      <c r="AD145" s="180"/>
      <c r="AE145" s="180">
        <f t="shared" si="257"/>
        <v>1.217557251908397</v>
      </c>
      <c r="AF145" s="564">
        <f t="shared" si="258"/>
        <v>99.124418981731679</v>
      </c>
      <c r="AG145" s="547">
        <f t="shared" si="259"/>
        <v>0.1235820610687023</v>
      </c>
      <c r="AI145" s="180">
        <f t="shared" si="260"/>
        <v>0.15433140256662548</v>
      </c>
      <c r="AJ145" s="180">
        <f t="shared" si="261"/>
        <v>0.28999999999999998</v>
      </c>
      <c r="AK145" s="180">
        <f t="shared" si="262"/>
        <v>1.0566425251324181</v>
      </c>
      <c r="AM145" s="564">
        <f t="shared" si="263"/>
        <v>34.999999999999993</v>
      </c>
      <c r="AN145" s="473">
        <f t="shared" si="264"/>
        <v>99.124418981731679</v>
      </c>
      <c r="AP145" s="473">
        <f t="shared" si="265"/>
        <v>34.999999999999993</v>
      </c>
      <c r="AQ145" s="473">
        <f t="shared" si="266"/>
        <v>99.124418981731679</v>
      </c>
      <c r="AS145" s="5">
        <f t="shared" si="237"/>
        <v>10.088331515812435</v>
      </c>
      <c r="AT145" s="5">
        <f t="shared" si="267"/>
        <v>1.5949999999999998</v>
      </c>
      <c r="AU145" s="5">
        <f t="shared" si="210"/>
        <v>8.4933315158124358</v>
      </c>
      <c r="AV145" s="5"/>
      <c r="AW145" s="180">
        <f t="shared" si="211"/>
        <v>0.15810344827586201</v>
      </c>
      <c r="AX145" s="180">
        <f t="shared" si="233"/>
        <v>0.22924999999999993</v>
      </c>
      <c r="AY145" s="180">
        <f t="shared" si="234"/>
        <v>0.24415000000000001</v>
      </c>
      <c r="AZ145" s="180">
        <f t="shared" si="238"/>
        <v>0.93897194347737012</v>
      </c>
      <c r="BD145" s="180">
        <f t="shared" si="239"/>
        <v>6.6574519650288613E-2</v>
      </c>
      <c r="BE145" s="180">
        <f t="shared" si="235"/>
        <v>0.3072534241740304</v>
      </c>
      <c r="BG145" s="547">
        <f t="shared" si="212"/>
        <v>1.5512583333333327E-3</v>
      </c>
      <c r="BH145" s="547">
        <f t="shared" si="213"/>
        <v>6.6403448275862056E-3</v>
      </c>
      <c r="BI145" s="547">
        <f t="shared" si="214"/>
        <v>1.2390552372716459E-3</v>
      </c>
      <c r="BJ145" s="547">
        <f t="shared" si="215"/>
        <v>3.0413924197384055E-3</v>
      </c>
      <c r="BK145">
        <f t="shared" si="216"/>
        <v>2.8999999999999998E-3</v>
      </c>
      <c r="BL145" s="473">
        <f t="shared" si="217"/>
        <v>15.37205081792959</v>
      </c>
      <c r="BM145" s="547">
        <f t="shared" si="218"/>
        <v>1.2249999999999999E-2</v>
      </c>
      <c r="BP145" s="473">
        <f t="shared" si="219"/>
        <v>12.249999999999998</v>
      </c>
      <c r="BQ145" s="547">
        <f t="shared" si="220"/>
        <v>4.8753833333333314E-4</v>
      </c>
      <c r="BR145" s="547">
        <f t="shared" si="221"/>
        <v>3.3041633333333329E-3</v>
      </c>
      <c r="BS145" s="547">
        <f t="shared" si="222"/>
        <v>2.2152188375814853E-4</v>
      </c>
      <c r="BT145" s="547">
        <f t="shared" si="223"/>
        <v>8.3363636363636348E-3</v>
      </c>
      <c r="BU145" s="473">
        <f t="shared" si="224"/>
        <v>12.349587186788449</v>
      </c>
      <c r="BV145" s="180">
        <f t="shared" si="225"/>
        <v>3.9971638004718035E-2</v>
      </c>
      <c r="BW145" s="5">
        <f t="shared" si="226"/>
        <v>0.22049999999999997</v>
      </c>
      <c r="BX145" s="180">
        <f t="shared" si="227"/>
        <v>0.84654130364859914</v>
      </c>
      <c r="BY145" s="5">
        <f t="shared" si="228"/>
        <v>84.65413036485991</v>
      </c>
      <c r="CB145" s="582">
        <f t="shared" si="268"/>
        <v>-50</v>
      </c>
      <c r="CC145">
        <f t="shared" si="269"/>
        <v>-50</v>
      </c>
    </row>
    <row r="146" spans="5:81" x14ac:dyDescent="0.25">
      <c r="E146" s="177">
        <v>36</v>
      </c>
      <c r="F146" s="224">
        <f t="shared" si="270"/>
        <v>3.5999999999999997E-2</v>
      </c>
      <c r="G146" s="224"/>
      <c r="H146" s="224">
        <f t="shared" si="240"/>
        <v>0.22679999999999997</v>
      </c>
      <c r="I146" s="560">
        <f t="shared" si="241"/>
        <v>10</v>
      </c>
      <c r="J146" s="455">
        <f t="shared" si="242"/>
        <v>13.1</v>
      </c>
      <c r="K146" s="455">
        <f t="shared" si="243"/>
        <v>23.1</v>
      </c>
      <c r="L146" s="455"/>
      <c r="M146" s="224">
        <f t="shared" si="244"/>
        <v>0.5670995670995671</v>
      </c>
      <c r="N146" s="179">
        <f t="shared" si="245"/>
        <v>3.7003246753246755</v>
      </c>
      <c r="O146" s="179">
        <f t="shared" si="236"/>
        <v>0.22679999999999997</v>
      </c>
      <c r="P146" s="224">
        <f t="shared" si="246"/>
        <v>0.58735312306740883</v>
      </c>
      <c r="Q146" s="224">
        <f t="shared" si="247"/>
        <v>6.3</v>
      </c>
      <c r="R146" s="224"/>
      <c r="S146" s="179">
        <f t="shared" si="248"/>
        <v>176.2570818688223</v>
      </c>
      <c r="T146" s="179">
        <f t="shared" si="249"/>
        <v>6.3</v>
      </c>
      <c r="U146" s="224">
        <f t="shared" si="250"/>
        <v>8.8873282442748086E-2</v>
      </c>
      <c r="V146" s="224">
        <f t="shared" si="251"/>
        <v>0.48880305343511454</v>
      </c>
      <c r="W146" s="224">
        <f t="shared" si="252"/>
        <v>0.37313210185886603</v>
      </c>
      <c r="X146" s="204">
        <f t="shared" si="253"/>
        <v>350</v>
      </c>
      <c r="Y146" s="455">
        <f t="shared" si="195"/>
        <v>350</v>
      </c>
      <c r="AA146" s="224">
        <f t="shared" si="254"/>
        <v>0.29459717771406085</v>
      </c>
      <c r="AB146" s="180">
        <f t="shared" si="255"/>
        <v>1.2368583797155226</v>
      </c>
      <c r="AC146" s="180">
        <f t="shared" si="256"/>
        <v>0.1275312457636627</v>
      </c>
      <c r="AD146" s="180"/>
      <c r="AE146" s="180">
        <f t="shared" si="257"/>
        <v>1.217557251908397</v>
      </c>
      <c r="AF146" s="564">
        <f t="shared" si="258"/>
        <v>101.95654523835259</v>
      </c>
      <c r="AG146" s="547">
        <f t="shared" si="259"/>
        <v>0.1235820610687023</v>
      </c>
      <c r="AI146" s="180">
        <f t="shared" si="260"/>
        <v>0.15652060982088364</v>
      </c>
      <c r="AJ146" s="180">
        <f t="shared" si="261"/>
        <v>0.28999999999999998</v>
      </c>
      <c r="AK146" s="180">
        <f t="shared" si="262"/>
        <v>1.0582608829933444</v>
      </c>
      <c r="AM146" s="564">
        <f t="shared" si="263"/>
        <v>36</v>
      </c>
      <c r="AN146" s="473">
        <f t="shared" si="264"/>
        <v>101.95654523835259</v>
      </c>
      <c r="AP146" s="473">
        <f t="shared" si="265"/>
        <v>36</v>
      </c>
      <c r="AQ146" s="473">
        <f t="shared" si="266"/>
        <v>101.95654523835259</v>
      </c>
      <c r="AS146" s="5">
        <f t="shared" si="237"/>
        <v>9.8081000848176441</v>
      </c>
      <c r="AT146" s="5">
        <f t="shared" si="267"/>
        <v>1.5949999999999998</v>
      </c>
      <c r="AU146" s="5">
        <f t="shared" si="210"/>
        <v>8.2131000848176434</v>
      </c>
      <c r="AV146" s="5"/>
      <c r="AW146" s="180">
        <f t="shared" si="211"/>
        <v>0.16262068965517235</v>
      </c>
      <c r="AX146" s="180">
        <f t="shared" si="233"/>
        <v>0.23579999999999995</v>
      </c>
      <c r="AY146" s="180">
        <f t="shared" si="234"/>
        <v>0.24284000000000003</v>
      </c>
      <c r="AZ146" s="180">
        <f t="shared" si="238"/>
        <v>0.97100971833305849</v>
      </c>
      <c r="BD146" s="180">
        <f t="shared" si="239"/>
        <v>6.751888624673838E-2</v>
      </c>
      <c r="BE146" s="180">
        <f t="shared" si="235"/>
        <v>0.30642802308753248</v>
      </c>
      <c r="BG146" s="547">
        <f t="shared" si="212"/>
        <v>1.595579999999999E-3</v>
      </c>
      <c r="BH146" s="547">
        <f t="shared" si="213"/>
        <v>6.8300689655172407E-3</v>
      </c>
      <c r="BI146" s="547">
        <f t="shared" si="214"/>
        <v>1.2744568154794073E-3</v>
      </c>
      <c r="BJ146" s="547">
        <f t="shared" si="215"/>
        <v>3.1282893460166457E-3</v>
      </c>
      <c r="BK146">
        <f t="shared" si="216"/>
        <v>2.8999999999999998E-3</v>
      </c>
      <c r="BL146" s="473">
        <f t="shared" si="217"/>
        <v>15.728395127013291</v>
      </c>
      <c r="BM146" s="547">
        <f t="shared" si="218"/>
        <v>1.2599999999999998E-2</v>
      </c>
      <c r="BP146" s="473">
        <f t="shared" si="219"/>
        <v>12.599999999999998</v>
      </c>
      <c r="BQ146" s="547">
        <f t="shared" si="220"/>
        <v>5.0146799999999971E-4</v>
      </c>
      <c r="BR146" s="547">
        <f t="shared" si="221"/>
        <v>3.2864346666666672E-3</v>
      </c>
      <c r="BS146" s="547">
        <f t="shared" si="222"/>
        <v>2.3768554843639099E-4</v>
      </c>
      <c r="BT146" s="547">
        <f t="shared" si="223"/>
        <v>8.5745454545454527E-3</v>
      </c>
      <c r="BU146" s="473">
        <f t="shared" si="224"/>
        <v>12.60013366964851</v>
      </c>
      <c r="BV146" s="180">
        <f t="shared" si="225"/>
        <v>4.0928528796661791E-2</v>
      </c>
      <c r="BW146" s="5">
        <f t="shared" si="226"/>
        <v>0.22679999999999997</v>
      </c>
      <c r="BX146" s="180">
        <f t="shared" si="227"/>
        <v>0.84712675567067874</v>
      </c>
      <c r="BY146" s="5">
        <f t="shared" si="228"/>
        <v>84.712675567067876</v>
      </c>
      <c r="CB146" s="582">
        <f t="shared" si="268"/>
        <v>-50</v>
      </c>
      <c r="CC146">
        <f t="shared" si="269"/>
        <v>-50</v>
      </c>
    </row>
    <row r="147" spans="5:81" x14ac:dyDescent="0.25">
      <c r="E147" s="177">
        <v>37</v>
      </c>
      <c r="F147" s="224">
        <f t="shared" si="270"/>
        <v>3.6999999999999998E-2</v>
      </c>
      <c r="G147" s="224"/>
      <c r="H147" s="224">
        <f t="shared" si="240"/>
        <v>0.23309999999999997</v>
      </c>
      <c r="I147" s="560">
        <f t="shared" si="241"/>
        <v>10</v>
      </c>
      <c r="J147" s="455">
        <f t="shared" si="242"/>
        <v>13.1</v>
      </c>
      <c r="K147" s="455">
        <f t="shared" si="243"/>
        <v>23.1</v>
      </c>
      <c r="L147" s="455"/>
      <c r="M147" s="224">
        <f t="shared" si="244"/>
        <v>0.5670995670995671</v>
      </c>
      <c r="N147" s="179">
        <f t="shared" si="245"/>
        <v>3.7003246753246755</v>
      </c>
      <c r="O147" s="179">
        <f t="shared" si="236"/>
        <v>0.23309999999999997</v>
      </c>
      <c r="P147" s="224">
        <f t="shared" si="246"/>
        <v>0.58735312306740883</v>
      </c>
      <c r="Q147" s="224">
        <f t="shared" si="247"/>
        <v>6.3</v>
      </c>
      <c r="R147" s="224"/>
      <c r="S147" s="179">
        <f t="shared" si="248"/>
        <v>171.35863536708479</v>
      </c>
      <c r="T147" s="179">
        <f t="shared" si="249"/>
        <v>6.3</v>
      </c>
      <c r="U147" s="224">
        <f t="shared" si="250"/>
        <v>9.1341984732824413E-2</v>
      </c>
      <c r="V147" s="224">
        <f t="shared" si="251"/>
        <v>0.50238091603053436</v>
      </c>
      <c r="W147" s="224">
        <f t="shared" si="252"/>
        <v>0.38349688246605673</v>
      </c>
      <c r="X147" s="204">
        <f t="shared" si="253"/>
        <v>350</v>
      </c>
      <c r="Y147" s="455">
        <f t="shared" si="195"/>
        <v>350</v>
      </c>
      <c r="AA147" s="224">
        <f t="shared" si="254"/>
        <v>0.29459717771406085</v>
      </c>
      <c r="AB147" s="180">
        <f t="shared" si="255"/>
        <v>1.2368583797155226</v>
      </c>
      <c r="AC147" s="180">
        <f t="shared" si="256"/>
        <v>0.1275312457636627</v>
      </c>
      <c r="AD147" s="180"/>
      <c r="AE147" s="180">
        <f t="shared" si="257"/>
        <v>1.217557251908397</v>
      </c>
      <c r="AF147" s="564">
        <f t="shared" si="258"/>
        <v>104.7886714949735</v>
      </c>
      <c r="AG147" s="547">
        <f t="shared" si="259"/>
        <v>0.1235820610687023</v>
      </c>
      <c r="AI147" s="180">
        <f t="shared" si="260"/>
        <v>0.15867961677298309</v>
      </c>
      <c r="AJ147" s="180">
        <f t="shared" si="261"/>
        <v>0.28999999999999998</v>
      </c>
      <c r="AK147" s="180">
        <f t="shared" si="262"/>
        <v>1.0598792408542705</v>
      </c>
      <c r="AM147" s="564">
        <f t="shared" si="263"/>
        <v>37</v>
      </c>
      <c r="AN147" s="473">
        <f t="shared" si="264"/>
        <v>104.7886714949735</v>
      </c>
      <c r="AP147" s="473">
        <f t="shared" si="265"/>
        <v>37</v>
      </c>
      <c r="AQ147" s="473">
        <f t="shared" si="266"/>
        <v>104.7886714949735</v>
      </c>
      <c r="AS147" s="5">
        <f t="shared" si="237"/>
        <v>9.5430162987414917</v>
      </c>
      <c r="AT147" s="5">
        <f t="shared" si="267"/>
        <v>1.5949999999999998</v>
      </c>
      <c r="AU147" s="5">
        <f t="shared" si="210"/>
        <v>7.948016298741492</v>
      </c>
      <c r="AV147" s="5"/>
      <c r="AW147" s="180">
        <f t="shared" si="211"/>
        <v>0.16713793103448268</v>
      </c>
      <c r="AX147" s="180">
        <f t="shared" si="233"/>
        <v>0.24234999999999995</v>
      </c>
      <c r="AY147" s="180">
        <f t="shared" si="234"/>
        <v>0.24152999999999999</v>
      </c>
      <c r="AZ147" s="180">
        <f t="shared" si="238"/>
        <v>1.0033950233925391</v>
      </c>
      <c r="BD147" s="180">
        <f t="shared" si="239"/>
        <v>6.8450225224854666E-2</v>
      </c>
      <c r="BE147" s="180">
        <f t="shared" si="235"/>
        <v>0.30560039266990474</v>
      </c>
      <c r="BG147" s="547">
        <f t="shared" si="212"/>
        <v>1.6399016666666653E-3</v>
      </c>
      <c r="BH147" s="547">
        <f t="shared" si="213"/>
        <v>7.019793103448275E-3</v>
      </c>
      <c r="BI147" s="547">
        <f t="shared" si="214"/>
        <v>1.3098583936871687E-3</v>
      </c>
      <c r="BJ147" s="547">
        <f t="shared" si="215"/>
        <v>3.2151862722948864E-3</v>
      </c>
      <c r="BK147">
        <f t="shared" si="216"/>
        <v>2.8999999999999998E-3</v>
      </c>
      <c r="BL147" s="473">
        <f t="shared" si="217"/>
        <v>16.084739436096992</v>
      </c>
      <c r="BM147" s="547">
        <f t="shared" si="218"/>
        <v>1.2949999999999998E-2</v>
      </c>
      <c r="BP147" s="473">
        <f t="shared" si="219"/>
        <v>12.949999999999998</v>
      </c>
      <c r="BQ147" s="547">
        <f t="shared" si="220"/>
        <v>5.1539766666666633E-4</v>
      </c>
      <c r="BR147" s="547">
        <f t="shared" si="221"/>
        <v>3.2687059999999988E-3</v>
      </c>
      <c r="BS147" s="547">
        <f t="shared" si="222"/>
        <v>2.5453694959394035E-4</v>
      </c>
      <c r="BT147" s="547">
        <f t="shared" si="223"/>
        <v>8.8127272727272724E-3</v>
      </c>
      <c r="BU147" s="473">
        <f t="shared" si="224"/>
        <v>12.851367888987879</v>
      </c>
      <c r="BV147" s="180">
        <f t="shared" si="225"/>
        <v>4.1886107325084861E-2</v>
      </c>
      <c r="BW147" s="5">
        <f t="shared" si="226"/>
        <v>0.23309999999999997</v>
      </c>
      <c r="BX147" s="180">
        <f t="shared" si="227"/>
        <v>0.84767918738684622</v>
      </c>
      <c r="BY147" s="5">
        <f t="shared" si="228"/>
        <v>84.767918738684628</v>
      </c>
      <c r="CB147" s="582">
        <f t="shared" si="268"/>
        <v>-50</v>
      </c>
      <c r="CC147">
        <f t="shared" si="269"/>
        <v>-50</v>
      </c>
    </row>
    <row r="148" spans="5:81" x14ac:dyDescent="0.25">
      <c r="E148" s="177">
        <v>38</v>
      </c>
      <c r="F148" s="224">
        <f t="shared" si="270"/>
        <v>3.8000000000000006E-2</v>
      </c>
      <c r="G148" s="224"/>
      <c r="H148" s="224">
        <f t="shared" si="240"/>
        <v>0.23940000000000003</v>
      </c>
      <c r="I148" s="560">
        <f t="shared" si="241"/>
        <v>10</v>
      </c>
      <c r="J148" s="455">
        <f t="shared" si="242"/>
        <v>13.1</v>
      </c>
      <c r="K148" s="455">
        <f t="shared" si="243"/>
        <v>23.1</v>
      </c>
      <c r="L148" s="455"/>
      <c r="M148" s="224">
        <f t="shared" si="244"/>
        <v>0.5670995670995671</v>
      </c>
      <c r="N148" s="179">
        <f t="shared" si="245"/>
        <v>3.7003246753246755</v>
      </c>
      <c r="O148" s="179">
        <f t="shared" si="236"/>
        <v>0.23940000000000003</v>
      </c>
      <c r="P148" s="224">
        <f t="shared" si="246"/>
        <v>0.58735312306740883</v>
      </c>
      <c r="Q148" s="224">
        <f t="shared" si="247"/>
        <v>6.3</v>
      </c>
      <c r="R148" s="224"/>
      <c r="S148" s="179">
        <f t="shared" si="248"/>
        <v>166.71801277968868</v>
      </c>
      <c r="T148" s="179">
        <f t="shared" si="249"/>
        <v>6.3</v>
      </c>
      <c r="U148" s="224">
        <f t="shared" si="250"/>
        <v>9.3810687022900768E-2</v>
      </c>
      <c r="V148" s="224">
        <f t="shared" si="251"/>
        <v>0.5159587786259543</v>
      </c>
      <c r="W148" s="224">
        <f t="shared" si="252"/>
        <v>0.39386166307324755</v>
      </c>
      <c r="X148" s="204">
        <f t="shared" si="253"/>
        <v>350</v>
      </c>
      <c r="Y148" s="455">
        <f t="shared" si="195"/>
        <v>350</v>
      </c>
      <c r="AA148" s="224">
        <f t="shared" si="254"/>
        <v>0.29459717771406085</v>
      </c>
      <c r="AB148" s="180">
        <f t="shared" si="255"/>
        <v>1.2368583797155226</v>
      </c>
      <c r="AC148" s="180">
        <f t="shared" si="256"/>
        <v>0.1275312457636627</v>
      </c>
      <c r="AD148" s="180"/>
      <c r="AE148" s="180">
        <f t="shared" si="257"/>
        <v>1.217557251908397</v>
      </c>
      <c r="AF148" s="564">
        <f t="shared" si="258"/>
        <v>107.62079775159442</v>
      </c>
      <c r="AG148" s="547">
        <f t="shared" si="259"/>
        <v>0.1235820610687023</v>
      </c>
      <c r="AI148" s="180">
        <f t="shared" si="260"/>
        <v>0.1608096398221831</v>
      </c>
      <c r="AJ148" s="180">
        <f t="shared" si="261"/>
        <v>0.28999999999999998</v>
      </c>
      <c r="AK148" s="180">
        <f t="shared" si="262"/>
        <v>1.0614975987151969</v>
      </c>
      <c r="AM148" s="564">
        <f t="shared" si="263"/>
        <v>38.000000000000007</v>
      </c>
      <c r="AN148" s="473">
        <f t="shared" si="264"/>
        <v>107.62079775159442</v>
      </c>
      <c r="AP148" s="473">
        <f t="shared" si="265"/>
        <v>38.000000000000007</v>
      </c>
      <c r="AQ148" s="473">
        <f t="shared" si="266"/>
        <v>107.62079775159442</v>
      </c>
      <c r="AS148" s="5">
        <f t="shared" si="237"/>
        <v>9.2918842908798709</v>
      </c>
      <c r="AT148" s="5">
        <f t="shared" si="267"/>
        <v>1.5949999999999998</v>
      </c>
      <c r="AU148" s="5">
        <f t="shared" si="210"/>
        <v>7.6968842908798711</v>
      </c>
      <c r="AV148" s="5"/>
      <c r="AW148" s="180">
        <f t="shared" si="211"/>
        <v>0.17165517241379308</v>
      </c>
      <c r="AX148" s="180">
        <f t="shared" si="233"/>
        <v>0.24889999999999998</v>
      </c>
      <c r="AY148" s="180">
        <f t="shared" si="234"/>
        <v>0.24021999999999996</v>
      </c>
      <c r="AZ148" s="180">
        <f t="shared" si="238"/>
        <v>1.0361335442511033</v>
      </c>
      <c r="BD148" s="180">
        <f t="shared" si="239"/>
        <v>6.9369061307377258E-2</v>
      </c>
      <c r="BE148" s="180">
        <f t="shared" si="235"/>
        <v>0.30477051475932948</v>
      </c>
      <c r="BG148" s="547">
        <f t="shared" si="212"/>
        <v>1.6842233333333326E-3</v>
      </c>
      <c r="BH148" s="547">
        <f t="shared" si="213"/>
        <v>7.2095172413793101E-3</v>
      </c>
      <c r="BI148" s="547">
        <f t="shared" si="214"/>
        <v>1.3452599718949301E-3</v>
      </c>
      <c r="BJ148" s="547">
        <f t="shared" si="215"/>
        <v>3.3020831985731271E-3</v>
      </c>
      <c r="BK148">
        <f t="shared" si="216"/>
        <v>2.8999999999999998E-3</v>
      </c>
      <c r="BL148" s="473">
        <f t="shared" si="217"/>
        <v>16.441083745180702</v>
      </c>
      <c r="BM148" s="547">
        <f t="shared" si="218"/>
        <v>1.3300000000000001E-2</v>
      </c>
      <c r="BP148" s="473">
        <f t="shared" si="219"/>
        <v>13.3</v>
      </c>
      <c r="BQ148" s="547">
        <f t="shared" si="220"/>
        <v>5.2932733333333317E-4</v>
      </c>
      <c r="BR148" s="547">
        <f t="shared" si="221"/>
        <v>3.2509773333333335E-3</v>
      </c>
      <c r="BS148" s="547">
        <f t="shared" si="222"/>
        <v>2.7208557429709814E-4</v>
      </c>
      <c r="BT148" s="547">
        <f t="shared" si="223"/>
        <v>9.0509090909090921E-3</v>
      </c>
      <c r="BU148" s="473">
        <f t="shared" si="224"/>
        <v>13.103299331872858</v>
      </c>
      <c r="BV148" s="180">
        <f t="shared" si="225"/>
        <v>4.2844383077053558E-2</v>
      </c>
      <c r="BW148" s="5">
        <f t="shared" si="226"/>
        <v>0.23940000000000003</v>
      </c>
      <c r="BX148" s="180">
        <f t="shared" si="227"/>
        <v>0.84820111348201077</v>
      </c>
      <c r="BY148" s="5">
        <f t="shared" si="228"/>
        <v>84.820111348201081</v>
      </c>
      <c r="CB148" s="582">
        <f t="shared" si="268"/>
        <v>-50</v>
      </c>
      <c r="CC148">
        <f t="shared" si="269"/>
        <v>-50</v>
      </c>
    </row>
    <row r="149" spans="5:81" x14ac:dyDescent="0.25">
      <c r="E149" s="177">
        <v>39</v>
      </c>
      <c r="F149" s="224">
        <f t="shared" si="270"/>
        <v>3.9000000000000007E-2</v>
      </c>
      <c r="G149" s="224"/>
      <c r="H149" s="224">
        <f t="shared" si="240"/>
        <v>0.24570000000000003</v>
      </c>
      <c r="I149" s="560">
        <f t="shared" si="241"/>
        <v>10</v>
      </c>
      <c r="J149" s="455">
        <f t="shared" si="242"/>
        <v>13.1</v>
      </c>
      <c r="K149" s="455">
        <f t="shared" si="243"/>
        <v>23.1</v>
      </c>
      <c r="L149" s="455"/>
      <c r="M149" s="224">
        <f t="shared" si="244"/>
        <v>0.5670995670995671</v>
      </c>
      <c r="N149" s="179">
        <f t="shared" si="245"/>
        <v>3.7003246753246755</v>
      </c>
      <c r="O149" s="179">
        <f t="shared" si="236"/>
        <v>0.24570000000000003</v>
      </c>
      <c r="P149" s="224">
        <f t="shared" si="246"/>
        <v>0.58735312306740883</v>
      </c>
      <c r="Q149" s="224">
        <f t="shared" si="247"/>
        <v>6.3</v>
      </c>
      <c r="R149" s="224"/>
      <c r="S149" s="179">
        <f t="shared" si="248"/>
        <v>162.31538152164606</v>
      </c>
      <c r="T149" s="179">
        <f t="shared" si="249"/>
        <v>6.3</v>
      </c>
      <c r="U149" s="224">
        <f t="shared" si="250"/>
        <v>9.6279389312977109E-2</v>
      </c>
      <c r="V149" s="224">
        <f t="shared" si="251"/>
        <v>0.52953664122137412</v>
      </c>
      <c r="W149" s="224">
        <f t="shared" si="252"/>
        <v>0.40422644368043825</v>
      </c>
      <c r="X149" s="204">
        <f t="shared" si="253"/>
        <v>350</v>
      </c>
      <c r="Y149" s="455">
        <f t="shared" si="195"/>
        <v>350</v>
      </c>
      <c r="AA149" s="224">
        <f t="shared" si="254"/>
        <v>0.29459717771406085</v>
      </c>
      <c r="AB149" s="180">
        <f t="shared" si="255"/>
        <v>1.2368583797155226</v>
      </c>
      <c r="AC149" s="180">
        <f t="shared" si="256"/>
        <v>0.1275312457636627</v>
      </c>
      <c r="AD149" s="180"/>
      <c r="AE149" s="180">
        <f t="shared" si="257"/>
        <v>1.217557251908397</v>
      </c>
      <c r="AF149" s="564">
        <f t="shared" si="258"/>
        <v>110.45292400821532</v>
      </c>
      <c r="AG149" s="547">
        <f t="shared" si="259"/>
        <v>0.1235820610687023</v>
      </c>
      <c r="AI149" s="180">
        <f t="shared" si="260"/>
        <v>0.16291181583991918</v>
      </c>
      <c r="AJ149" s="180">
        <f t="shared" si="261"/>
        <v>0.28999999999999998</v>
      </c>
      <c r="AK149" s="180">
        <f t="shared" si="262"/>
        <v>1.063115956576123</v>
      </c>
      <c r="AM149" s="564">
        <f t="shared" si="263"/>
        <v>39.000000000000007</v>
      </c>
      <c r="AN149" s="473">
        <f t="shared" si="264"/>
        <v>110.45292400821532</v>
      </c>
      <c r="AP149" s="473">
        <f t="shared" si="265"/>
        <v>39.000000000000007</v>
      </c>
      <c r="AQ149" s="473">
        <f t="shared" si="266"/>
        <v>110.45292400821532</v>
      </c>
      <c r="AS149" s="5">
        <f t="shared" si="237"/>
        <v>9.0536308475239782</v>
      </c>
      <c r="AT149" s="5">
        <f t="shared" si="267"/>
        <v>1.5949999999999998</v>
      </c>
      <c r="AU149" s="5">
        <f t="shared" si="210"/>
        <v>7.4586308475239784</v>
      </c>
      <c r="AV149" s="5"/>
      <c r="AW149" s="180">
        <f t="shared" si="211"/>
        <v>0.17617241379310342</v>
      </c>
      <c r="AX149" s="180">
        <f t="shared" si="233"/>
        <v>0.25545000000000001</v>
      </c>
      <c r="AY149" s="180">
        <f t="shared" si="234"/>
        <v>0.23890999999999998</v>
      </c>
      <c r="AZ149" s="180">
        <f t="shared" si="238"/>
        <v>1.0692310912058935</v>
      </c>
      <c r="BD149" s="180">
        <f t="shared" si="239"/>
        <v>7.0275884910828396E-2</v>
      </c>
      <c r="BE149" s="180">
        <f t="shared" si="235"/>
        <v>0.30393837094604115</v>
      </c>
      <c r="BG149" s="547">
        <f t="shared" si="212"/>
        <v>1.7285449999999993E-3</v>
      </c>
      <c r="BH149" s="547">
        <f t="shared" si="213"/>
        <v>7.3992413793103435E-3</v>
      </c>
      <c r="BI149" s="547">
        <f t="shared" si="214"/>
        <v>1.3806615501026913E-3</v>
      </c>
      <c r="BJ149" s="547">
        <f t="shared" si="215"/>
        <v>3.3889801248513669E-3</v>
      </c>
      <c r="BK149">
        <f t="shared" si="216"/>
        <v>2.8999999999999998E-3</v>
      </c>
      <c r="BL149" s="473">
        <f t="shared" si="217"/>
        <v>16.797428054264401</v>
      </c>
      <c r="BM149" s="547">
        <f t="shared" si="218"/>
        <v>1.3650000000000002E-2</v>
      </c>
      <c r="BP149" s="473">
        <f t="shared" si="219"/>
        <v>13.650000000000002</v>
      </c>
      <c r="BQ149" s="547">
        <f t="shared" si="220"/>
        <v>5.4325699999999979E-4</v>
      </c>
      <c r="BR149" s="547">
        <f t="shared" si="221"/>
        <v>3.2332486666666661E-3</v>
      </c>
      <c r="BS149" s="547">
        <f t="shared" si="222"/>
        <v>2.9034078222854115E-4</v>
      </c>
      <c r="BT149" s="547">
        <f t="shared" si="223"/>
        <v>9.28909090909091E-3</v>
      </c>
      <c r="BU149" s="473">
        <f t="shared" si="224"/>
        <v>13.355937357986118</v>
      </c>
      <c r="BV149" s="180">
        <f t="shared" si="225"/>
        <v>4.3803365412250522E-2</v>
      </c>
      <c r="BW149" s="5">
        <f t="shared" si="226"/>
        <v>0.24570000000000003</v>
      </c>
      <c r="BX149" s="180">
        <f t="shared" si="227"/>
        <v>0.84869479720943886</v>
      </c>
      <c r="BY149" s="5">
        <f t="shared" si="228"/>
        <v>84.869479720943886</v>
      </c>
      <c r="CB149" s="582">
        <f t="shared" si="268"/>
        <v>-50</v>
      </c>
      <c r="CC149">
        <f t="shared" si="269"/>
        <v>-50</v>
      </c>
    </row>
    <row r="150" spans="5:81" x14ac:dyDescent="0.25">
      <c r="E150" s="177">
        <v>40</v>
      </c>
      <c r="F150" s="224">
        <f t="shared" si="270"/>
        <v>4.0000000000000008E-2</v>
      </c>
      <c r="G150" s="224"/>
      <c r="H150" s="224">
        <f t="shared" si="240"/>
        <v>0.25200000000000006</v>
      </c>
      <c r="I150" s="560">
        <f t="shared" si="241"/>
        <v>10</v>
      </c>
      <c r="J150" s="455">
        <f t="shared" si="242"/>
        <v>13.1</v>
      </c>
      <c r="K150" s="455">
        <f t="shared" si="243"/>
        <v>23.1</v>
      </c>
      <c r="L150" s="455"/>
      <c r="M150" s="224">
        <f t="shared" si="244"/>
        <v>0.5670995670995671</v>
      </c>
      <c r="N150" s="179">
        <f t="shared" si="245"/>
        <v>3.7003246753246755</v>
      </c>
      <c r="O150" s="179">
        <f t="shared" si="236"/>
        <v>0.25200000000000006</v>
      </c>
      <c r="P150" s="224">
        <f t="shared" si="246"/>
        <v>0.58735312306740883</v>
      </c>
      <c r="Q150" s="224">
        <f t="shared" si="247"/>
        <v>6.3</v>
      </c>
      <c r="R150" s="224"/>
      <c r="S150" s="179">
        <f t="shared" si="248"/>
        <v>158.13289226653274</v>
      </c>
      <c r="T150" s="179">
        <f t="shared" si="249"/>
        <v>6.3</v>
      </c>
      <c r="U150" s="224">
        <f t="shared" si="250"/>
        <v>9.8748091603053451E-2</v>
      </c>
      <c r="V150" s="224">
        <f t="shared" si="251"/>
        <v>0.54311450381679405</v>
      </c>
      <c r="W150" s="224">
        <f t="shared" si="252"/>
        <v>0.41459122428762907</v>
      </c>
      <c r="X150" s="204">
        <f t="shared" si="253"/>
        <v>350</v>
      </c>
      <c r="Y150" s="455">
        <f t="shared" si="195"/>
        <v>350</v>
      </c>
      <c r="AA150" s="224">
        <f t="shared" si="254"/>
        <v>0.29459717771406085</v>
      </c>
      <c r="AB150" s="180">
        <f t="shared" si="255"/>
        <v>1.2368583797155226</v>
      </c>
      <c r="AC150" s="180">
        <f t="shared" si="256"/>
        <v>0.1275312457636627</v>
      </c>
      <c r="AD150" s="180"/>
      <c r="AE150" s="180">
        <f t="shared" si="257"/>
        <v>1.217557251908397</v>
      </c>
      <c r="AF150" s="564">
        <f t="shared" si="258"/>
        <v>113.28505026483624</v>
      </c>
      <c r="AG150" s="547">
        <f t="shared" si="259"/>
        <v>0.1235820610687023</v>
      </c>
      <c r="AI150" s="180">
        <f t="shared" si="260"/>
        <v>0.1649872092641706</v>
      </c>
      <c r="AJ150" s="180">
        <f t="shared" si="261"/>
        <v>0.28999999999999998</v>
      </c>
      <c r="AK150" s="180">
        <f t="shared" si="262"/>
        <v>1.0647343144370494</v>
      </c>
      <c r="AM150" s="564">
        <f t="shared" si="263"/>
        <v>40.000000000000007</v>
      </c>
      <c r="AN150" s="473">
        <f t="shared" si="264"/>
        <v>113.28505026483624</v>
      </c>
      <c r="AP150" s="473">
        <f t="shared" si="265"/>
        <v>40.000000000000007</v>
      </c>
      <c r="AQ150" s="473">
        <f t="shared" si="266"/>
        <v>113.28505026483624</v>
      </c>
      <c r="AS150" s="5">
        <f t="shared" si="237"/>
        <v>8.8272900763358759</v>
      </c>
      <c r="AT150" s="5">
        <f t="shared" si="267"/>
        <v>1.5949999999999998</v>
      </c>
      <c r="AU150" s="5">
        <f t="shared" si="210"/>
        <v>7.2322900763358762</v>
      </c>
      <c r="AV150" s="5"/>
      <c r="AW150" s="180">
        <f t="shared" si="211"/>
        <v>0.18068965517241381</v>
      </c>
      <c r="AX150" s="180">
        <f t="shared" si="233"/>
        <v>0.26200000000000001</v>
      </c>
      <c r="AY150" s="180">
        <f t="shared" si="234"/>
        <v>0.23760000000000001</v>
      </c>
      <c r="AZ150" s="180">
        <f t="shared" si="238"/>
        <v>1.1026936026936027</v>
      </c>
      <c r="BD150" s="180">
        <f t="shared" si="239"/>
        <v>7.1171155205836958E-2</v>
      </c>
      <c r="BE150" s="180">
        <f t="shared" si="235"/>
        <v>0.30310394256756212</v>
      </c>
      <c r="BG150" s="547">
        <f t="shared" si="212"/>
        <v>1.7728666666666664E-3</v>
      </c>
      <c r="BH150" s="547">
        <f t="shared" si="213"/>
        <v>7.5889655172413795E-3</v>
      </c>
      <c r="BI150" s="547">
        <f t="shared" si="214"/>
        <v>1.4160631283104529E-3</v>
      </c>
      <c r="BJ150" s="547">
        <f t="shared" si="215"/>
        <v>3.475877051129608E-3</v>
      </c>
      <c r="BK150">
        <f t="shared" si="216"/>
        <v>2.8999999999999998E-3</v>
      </c>
      <c r="BL150" s="473">
        <f t="shared" si="217"/>
        <v>17.153772363348107</v>
      </c>
      <c r="BM150" s="547">
        <f t="shared" si="218"/>
        <v>1.4000000000000002E-2</v>
      </c>
      <c r="BP150" s="473">
        <f t="shared" si="219"/>
        <v>14.000000000000002</v>
      </c>
      <c r="BQ150" s="547">
        <f t="shared" si="220"/>
        <v>5.5718666666666663E-4</v>
      </c>
      <c r="BR150" s="547">
        <f t="shared" si="221"/>
        <v>3.2155200000000004E-3</v>
      </c>
      <c r="BS150" s="547">
        <f t="shared" si="222"/>
        <v>3.0931181068529634E-4</v>
      </c>
      <c r="BT150" s="547">
        <f t="shared" si="223"/>
        <v>9.527272727272728E-3</v>
      </c>
      <c r="BU150" s="473">
        <f t="shared" si="224"/>
        <v>13.609291204624691</v>
      </c>
      <c r="BV150" s="180">
        <f t="shared" si="225"/>
        <v>4.47630635679728E-2</v>
      </c>
      <c r="BW150" s="5">
        <f t="shared" si="226"/>
        <v>0.25200000000000006</v>
      </c>
      <c r="BX150" s="180">
        <f t="shared" si="227"/>
        <v>0.84916228108111591</v>
      </c>
      <c r="BY150" s="5">
        <f t="shared" si="228"/>
        <v>84.916228108111596</v>
      </c>
      <c r="CB150" s="582">
        <f t="shared" si="268"/>
        <v>-50</v>
      </c>
      <c r="CC150">
        <f t="shared" si="269"/>
        <v>-50</v>
      </c>
    </row>
    <row r="151" spans="5:81" x14ac:dyDescent="0.25">
      <c r="E151" s="177">
        <v>41</v>
      </c>
      <c r="F151" s="224">
        <f t="shared" si="270"/>
        <v>4.1000000000000002E-2</v>
      </c>
      <c r="G151" s="224"/>
      <c r="H151" s="224">
        <f t="shared" si="240"/>
        <v>0.25830000000000003</v>
      </c>
      <c r="I151" s="560">
        <f t="shared" si="241"/>
        <v>10</v>
      </c>
      <c r="J151" s="455">
        <f t="shared" si="242"/>
        <v>13.1</v>
      </c>
      <c r="K151" s="455">
        <f t="shared" si="243"/>
        <v>23.1</v>
      </c>
      <c r="L151" s="455"/>
      <c r="M151" s="224">
        <f t="shared" si="244"/>
        <v>0.5670995670995671</v>
      </c>
      <c r="N151" s="179">
        <f t="shared" si="245"/>
        <v>3.7003246753246755</v>
      </c>
      <c r="O151" s="179">
        <f t="shared" si="236"/>
        <v>0.25830000000000003</v>
      </c>
      <c r="P151" s="224">
        <f t="shared" si="246"/>
        <v>0.58735312306740883</v>
      </c>
      <c r="Q151" s="224">
        <f t="shared" si="247"/>
        <v>6.3</v>
      </c>
      <c r="R151" s="224"/>
      <c r="S151" s="179">
        <f t="shared" si="248"/>
        <v>154.15443708568813</v>
      </c>
      <c r="T151" s="179">
        <f t="shared" si="249"/>
        <v>6.3</v>
      </c>
      <c r="U151" s="224">
        <f t="shared" si="250"/>
        <v>0.10121679389312978</v>
      </c>
      <c r="V151" s="224">
        <f t="shared" si="251"/>
        <v>0.55669236641221387</v>
      </c>
      <c r="W151" s="224">
        <f t="shared" si="252"/>
        <v>0.42495600489481972</v>
      </c>
      <c r="X151" s="204">
        <f t="shared" si="253"/>
        <v>350</v>
      </c>
      <c r="Y151" s="455">
        <f t="shared" si="195"/>
        <v>350</v>
      </c>
      <c r="AA151" s="224">
        <f t="shared" si="254"/>
        <v>0.29459717771406085</v>
      </c>
      <c r="AB151" s="180">
        <f t="shared" si="255"/>
        <v>1.2368583797155226</v>
      </c>
      <c r="AC151" s="180">
        <f t="shared" si="256"/>
        <v>0.1275312457636627</v>
      </c>
      <c r="AD151" s="180"/>
      <c r="AE151" s="180">
        <f t="shared" si="257"/>
        <v>1.217557251908397</v>
      </c>
      <c r="AF151" s="564">
        <f t="shared" si="258"/>
        <v>116.11717652145714</v>
      </c>
      <c r="AG151" s="547">
        <f t="shared" si="259"/>
        <v>0.1235820610687023</v>
      </c>
      <c r="AI151" s="180">
        <f t="shared" si="260"/>
        <v>0.16703681840031168</v>
      </c>
      <c r="AJ151" s="180">
        <f t="shared" si="261"/>
        <v>0.28999999999999998</v>
      </c>
      <c r="AK151" s="180">
        <f t="shared" si="262"/>
        <v>1.0663526722979755</v>
      </c>
      <c r="AM151" s="564">
        <f t="shared" si="263"/>
        <v>41</v>
      </c>
      <c r="AN151" s="473">
        <f t="shared" si="264"/>
        <v>116.11717652145714</v>
      </c>
      <c r="AP151" s="473">
        <f t="shared" si="265"/>
        <v>41</v>
      </c>
      <c r="AQ151" s="473">
        <f t="shared" si="266"/>
        <v>116.11717652145714</v>
      </c>
      <c r="AS151" s="5">
        <f t="shared" si="237"/>
        <v>8.6119903183764652</v>
      </c>
      <c r="AT151" s="5">
        <f t="shared" si="267"/>
        <v>1.5949999999999998</v>
      </c>
      <c r="AU151" s="5">
        <f t="shared" si="210"/>
        <v>7.0169903183764655</v>
      </c>
      <c r="AV151" s="5"/>
      <c r="AW151" s="180">
        <f t="shared" si="211"/>
        <v>0.18520689655172412</v>
      </c>
      <c r="AX151" s="180">
        <f t="shared" si="233"/>
        <v>0.26855000000000001</v>
      </c>
      <c r="AY151" s="180">
        <f t="shared" si="234"/>
        <v>0.23628999999999997</v>
      </c>
      <c r="AZ151" s="180">
        <f t="shared" si="238"/>
        <v>1.1365271488425241</v>
      </c>
      <c r="BD151" s="180">
        <f t="shared" si="239"/>
        <v>7.2055302835160331E-2</v>
      </c>
      <c r="BE151" s="180">
        <f t="shared" si="235"/>
        <v>0.30226721070381857</v>
      </c>
      <c r="BG151" s="547">
        <f t="shared" si="212"/>
        <v>1.8171883333333325E-3</v>
      </c>
      <c r="BH151" s="547">
        <f t="shared" si="213"/>
        <v>7.7786896551724138E-3</v>
      </c>
      <c r="BI151" s="547">
        <f t="shared" si="214"/>
        <v>1.4514647065182141E-3</v>
      </c>
      <c r="BJ151" s="547">
        <f t="shared" si="215"/>
        <v>3.5627739774078478E-3</v>
      </c>
      <c r="BK151">
        <f t="shared" si="216"/>
        <v>2.8999999999999998E-3</v>
      </c>
      <c r="BL151" s="473">
        <f t="shared" si="217"/>
        <v>17.510116672431806</v>
      </c>
      <c r="BM151" s="547">
        <f t="shared" si="218"/>
        <v>1.435E-2</v>
      </c>
      <c r="BP151" s="473">
        <f t="shared" si="219"/>
        <v>14.35</v>
      </c>
      <c r="BQ151" s="547">
        <f t="shared" si="220"/>
        <v>5.7111633333333314E-4</v>
      </c>
      <c r="BR151" s="547">
        <f t="shared" si="221"/>
        <v>3.1977913333333329E-3</v>
      </c>
      <c r="BS151" s="547">
        <f t="shared" si="222"/>
        <v>3.290077792581596E-4</v>
      </c>
      <c r="BT151" s="547">
        <f t="shared" si="223"/>
        <v>9.7654545454545459E-3</v>
      </c>
      <c r="BU151" s="473">
        <f t="shared" si="224"/>
        <v>13.863369991379372</v>
      </c>
      <c r="BV151" s="180">
        <f t="shared" si="225"/>
        <v>4.572348666381118E-2</v>
      </c>
      <c r="BW151" s="5">
        <f t="shared" si="226"/>
        <v>0.25830000000000003</v>
      </c>
      <c r="BX151" s="180">
        <f t="shared" si="227"/>
        <v>0.84960541316871308</v>
      </c>
      <c r="BY151" s="5">
        <f t="shared" si="228"/>
        <v>84.960541316871314</v>
      </c>
      <c r="CB151" s="582">
        <f t="shared" si="268"/>
        <v>-50</v>
      </c>
      <c r="CC151">
        <f t="shared" si="269"/>
        <v>-50</v>
      </c>
    </row>
    <row r="152" spans="5:81" x14ac:dyDescent="0.25">
      <c r="E152" s="177">
        <v>42</v>
      </c>
      <c r="F152" s="224">
        <f t="shared" si="270"/>
        <v>4.2000000000000003E-2</v>
      </c>
      <c r="G152" s="224"/>
      <c r="H152" s="224">
        <f t="shared" si="240"/>
        <v>0.2646</v>
      </c>
      <c r="I152" s="560">
        <f t="shared" si="241"/>
        <v>10</v>
      </c>
      <c r="J152" s="455">
        <f t="shared" si="242"/>
        <v>13.1</v>
      </c>
      <c r="K152" s="455">
        <f t="shared" si="243"/>
        <v>23.1</v>
      </c>
      <c r="L152" s="455"/>
      <c r="M152" s="224">
        <f t="shared" si="244"/>
        <v>0.5670995670995671</v>
      </c>
      <c r="N152" s="179">
        <f t="shared" si="245"/>
        <v>3.7003246753246755</v>
      </c>
      <c r="O152" s="179">
        <f t="shared" si="236"/>
        <v>0.2646</v>
      </c>
      <c r="P152" s="224">
        <f t="shared" si="246"/>
        <v>0.58735312306740883</v>
      </c>
      <c r="Q152" s="224">
        <f t="shared" si="247"/>
        <v>6.3</v>
      </c>
      <c r="R152" s="224"/>
      <c r="S152" s="179">
        <f t="shared" si="248"/>
        <v>150.36544213895783</v>
      </c>
      <c r="T152" s="179">
        <f t="shared" si="249"/>
        <v>6.3</v>
      </c>
      <c r="U152" s="224">
        <f t="shared" si="250"/>
        <v>0.10368549618320611</v>
      </c>
      <c r="V152" s="224">
        <f t="shared" si="251"/>
        <v>0.57027022900763369</v>
      </c>
      <c r="W152" s="224">
        <f t="shared" si="252"/>
        <v>0.43532078550201042</v>
      </c>
      <c r="X152" s="204">
        <f t="shared" si="253"/>
        <v>350</v>
      </c>
      <c r="Y152" s="455">
        <f t="shared" si="195"/>
        <v>350</v>
      </c>
      <c r="AA152" s="224">
        <f t="shared" si="254"/>
        <v>0.29459717771406085</v>
      </c>
      <c r="AB152" s="180">
        <f t="shared" si="255"/>
        <v>1.2368583797155226</v>
      </c>
      <c r="AC152" s="180">
        <f t="shared" si="256"/>
        <v>0.1275312457636627</v>
      </c>
      <c r="AD152" s="180"/>
      <c r="AE152" s="180">
        <f t="shared" si="257"/>
        <v>1.217557251908397</v>
      </c>
      <c r="AF152" s="564">
        <f t="shared" si="258"/>
        <v>118.94930277807804</v>
      </c>
      <c r="AG152" s="547">
        <f t="shared" si="259"/>
        <v>0.1235820610687023</v>
      </c>
      <c r="AI152" s="180">
        <f t="shared" si="260"/>
        <v>0.16906158103430294</v>
      </c>
      <c r="AJ152" s="180">
        <f t="shared" si="261"/>
        <v>0.28999999999999998</v>
      </c>
      <c r="AK152" s="180">
        <f t="shared" si="262"/>
        <v>1.0679710301589018</v>
      </c>
      <c r="AM152" s="564">
        <f t="shared" si="263"/>
        <v>42</v>
      </c>
      <c r="AN152" s="473">
        <f t="shared" si="264"/>
        <v>118.94930277807804</v>
      </c>
      <c r="AP152" s="473">
        <f t="shared" si="265"/>
        <v>42</v>
      </c>
      <c r="AQ152" s="473">
        <f t="shared" si="266"/>
        <v>118.94930277807804</v>
      </c>
      <c r="AS152" s="5">
        <f t="shared" si="237"/>
        <v>8.4069429298436944</v>
      </c>
      <c r="AT152" s="5">
        <f t="shared" si="267"/>
        <v>1.5949999999999998</v>
      </c>
      <c r="AU152" s="5">
        <f t="shared" si="210"/>
        <v>6.8119429298436946</v>
      </c>
      <c r="AV152" s="5"/>
      <c r="AW152" s="180">
        <f t="shared" si="211"/>
        <v>0.18972413793103443</v>
      </c>
      <c r="AX152" s="180">
        <f t="shared" si="233"/>
        <v>0.27509999999999996</v>
      </c>
      <c r="AY152" s="180">
        <f t="shared" si="234"/>
        <v>0.23498000000000002</v>
      </c>
      <c r="AZ152" s="180">
        <f t="shared" si="238"/>
        <v>1.1707379351434162</v>
      </c>
      <c r="BD152" s="180">
        <f t="shared" si="239"/>
        <v>7.2928732335068025E-2</v>
      </c>
      <c r="BE152" s="180">
        <f t="shared" si="235"/>
        <v>0.30142815617213548</v>
      </c>
      <c r="BG152" s="547">
        <f t="shared" si="212"/>
        <v>1.8615099999999985E-3</v>
      </c>
      <c r="BH152" s="547">
        <f t="shared" si="213"/>
        <v>7.9684137931034481E-3</v>
      </c>
      <c r="BI152" s="547">
        <f t="shared" si="214"/>
        <v>1.4868662847259753E-3</v>
      </c>
      <c r="BJ152" s="547">
        <f t="shared" si="215"/>
        <v>3.6496709036860872E-3</v>
      </c>
      <c r="BK152">
        <f t="shared" si="216"/>
        <v>2.8999999999999998E-3</v>
      </c>
      <c r="BL152" s="473">
        <f t="shared" si="217"/>
        <v>17.866460981515509</v>
      </c>
      <c r="BM152" s="547">
        <f t="shared" si="218"/>
        <v>1.47E-2</v>
      </c>
      <c r="BP152" s="473">
        <f t="shared" si="219"/>
        <v>14.7</v>
      </c>
      <c r="BQ152" s="547">
        <f t="shared" si="220"/>
        <v>5.8504599999999955E-4</v>
      </c>
      <c r="BR152" s="547">
        <f t="shared" si="221"/>
        <v>3.1800626666666654E-3</v>
      </c>
      <c r="BS152" s="547">
        <f t="shared" si="222"/>
        <v>3.4943769422028089E-4</v>
      </c>
      <c r="BT152" s="547">
        <f t="shared" si="223"/>
        <v>1.0003636363636364E-2</v>
      </c>
      <c r="BU152" s="473">
        <f t="shared" si="224"/>
        <v>14.11818272452331</v>
      </c>
      <c r="BV152" s="180">
        <f t="shared" si="225"/>
        <v>4.6684643706038809E-2</v>
      </c>
      <c r="BW152" s="5">
        <f t="shared" si="226"/>
        <v>0.2646</v>
      </c>
      <c r="BX152" s="180">
        <f t="shared" si="227"/>
        <v>0.85002586973058203</v>
      </c>
      <c r="BY152" s="5">
        <f t="shared" si="228"/>
        <v>85.0025869730582</v>
      </c>
      <c r="CB152" s="582">
        <f t="shared" si="268"/>
        <v>-50</v>
      </c>
      <c r="CC152">
        <f t="shared" si="269"/>
        <v>-50</v>
      </c>
    </row>
    <row r="153" spans="5:81" x14ac:dyDescent="0.25">
      <c r="E153" s="177">
        <v>43</v>
      </c>
      <c r="F153" s="224">
        <f t="shared" si="270"/>
        <v>4.3000000000000003E-2</v>
      </c>
      <c r="G153" s="224"/>
      <c r="H153" s="224">
        <f t="shared" si="240"/>
        <v>0.27090000000000003</v>
      </c>
      <c r="I153" s="560">
        <f t="shared" si="241"/>
        <v>10</v>
      </c>
      <c r="J153" s="455">
        <f t="shared" si="242"/>
        <v>13.1</v>
      </c>
      <c r="K153" s="455">
        <f t="shared" si="243"/>
        <v>23.1</v>
      </c>
      <c r="L153" s="455"/>
      <c r="M153" s="224">
        <f t="shared" si="244"/>
        <v>0.5670995670995671</v>
      </c>
      <c r="N153" s="179">
        <f t="shared" si="245"/>
        <v>3.7003246753246755</v>
      </c>
      <c r="O153" s="179">
        <f t="shared" si="236"/>
        <v>0.27090000000000003</v>
      </c>
      <c r="P153" s="224">
        <f t="shared" si="246"/>
        <v>0.58735312306740883</v>
      </c>
      <c r="Q153" s="224">
        <f t="shared" si="247"/>
        <v>6.3</v>
      </c>
      <c r="R153" s="224"/>
      <c r="S153" s="179">
        <f t="shared" si="248"/>
        <v>146.7526892923095</v>
      </c>
      <c r="T153" s="179">
        <f t="shared" si="249"/>
        <v>6.3</v>
      </c>
      <c r="U153" s="224">
        <f t="shared" si="250"/>
        <v>0.10615419847328246</v>
      </c>
      <c r="V153" s="224">
        <f t="shared" si="251"/>
        <v>0.58384809160305351</v>
      </c>
      <c r="W153" s="224">
        <f t="shared" si="252"/>
        <v>0.44568556610920118</v>
      </c>
      <c r="X153" s="204">
        <f t="shared" si="253"/>
        <v>350</v>
      </c>
      <c r="Y153" s="455">
        <f t="shared" si="195"/>
        <v>350</v>
      </c>
      <c r="AA153" s="224">
        <f t="shared" si="254"/>
        <v>0.29459717771406085</v>
      </c>
      <c r="AB153" s="180">
        <f t="shared" si="255"/>
        <v>1.2368583797155226</v>
      </c>
      <c r="AC153" s="180">
        <f t="shared" si="256"/>
        <v>0.1275312457636627</v>
      </c>
      <c r="AD153" s="180"/>
      <c r="AE153" s="180">
        <f t="shared" si="257"/>
        <v>1.217557251908397</v>
      </c>
      <c r="AF153" s="564">
        <f t="shared" si="258"/>
        <v>121.78142903469895</v>
      </c>
      <c r="AG153" s="547">
        <f t="shared" si="259"/>
        <v>0.1235820610687023</v>
      </c>
      <c r="AI153" s="180">
        <f t="shared" si="260"/>
        <v>0.17106237944778407</v>
      </c>
      <c r="AJ153" s="180">
        <f t="shared" si="261"/>
        <v>0.28999999999999998</v>
      </c>
      <c r="AK153" s="180">
        <f t="shared" si="262"/>
        <v>1.0695893880198279</v>
      </c>
      <c r="AM153" s="564">
        <f t="shared" si="263"/>
        <v>43</v>
      </c>
      <c r="AN153" s="473">
        <f t="shared" si="264"/>
        <v>121.78142903469895</v>
      </c>
      <c r="AP153" s="473">
        <f t="shared" si="265"/>
        <v>43</v>
      </c>
      <c r="AQ153" s="473">
        <f t="shared" si="266"/>
        <v>121.78142903469895</v>
      </c>
      <c r="AS153" s="5">
        <f t="shared" si="237"/>
        <v>8.2114326291496536</v>
      </c>
      <c r="AT153" s="5">
        <f t="shared" si="267"/>
        <v>1.5949999999999998</v>
      </c>
      <c r="AU153" s="5">
        <f t="shared" si="210"/>
        <v>6.6164326291496538</v>
      </c>
      <c r="AV153" s="5"/>
      <c r="AW153" s="180">
        <f t="shared" si="211"/>
        <v>0.1942413793103448</v>
      </c>
      <c r="AX153" s="180">
        <f t="shared" si="233"/>
        <v>0.28165000000000001</v>
      </c>
      <c r="AY153" s="180">
        <f t="shared" si="234"/>
        <v>0.23366999999999999</v>
      </c>
      <c r="AZ153" s="180">
        <f t="shared" si="238"/>
        <v>1.2053323062438484</v>
      </c>
      <c r="BD153" s="180">
        <f t="shared" si="239"/>
        <v>7.3791824298721137E-2</v>
      </c>
      <c r="BE153" s="180">
        <f t="shared" si="235"/>
        <v>0.30058675952210534</v>
      </c>
      <c r="BG153" s="547">
        <f t="shared" si="212"/>
        <v>1.9058316666666659E-3</v>
      </c>
      <c r="BH153" s="547">
        <f t="shared" si="213"/>
        <v>8.1581379310344832E-3</v>
      </c>
      <c r="BI153" s="547">
        <f t="shared" si="214"/>
        <v>1.5222678629337369E-3</v>
      </c>
      <c r="BJ153" s="547">
        <f t="shared" si="215"/>
        <v>3.7365678299643274E-3</v>
      </c>
      <c r="BK153">
        <f t="shared" si="216"/>
        <v>2.8999999999999998E-3</v>
      </c>
      <c r="BL153" s="473">
        <f t="shared" si="217"/>
        <v>18.222805290599212</v>
      </c>
      <c r="BM153" s="547">
        <f t="shared" si="218"/>
        <v>1.5050000000000001E-2</v>
      </c>
      <c r="BP153" s="473">
        <f t="shared" si="219"/>
        <v>15.05</v>
      </c>
      <c r="BQ153" s="547">
        <f t="shared" si="220"/>
        <v>5.989756666666665E-4</v>
      </c>
      <c r="BR153" s="547">
        <f t="shared" si="221"/>
        <v>3.1623339999999997E-3</v>
      </c>
      <c r="BS153" s="547">
        <f t="shared" si="222"/>
        <v>3.7061045264960134E-4</v>
      </c>
      <c r="BT153" s="547">
        <f t="shared" si="223"/>
        <v>1.0241818181818182E-2</v>
      </c>
      <c r="BU153" s="473">
        <f t="shared" si="224"/>
        <v>14.37373830113445</v>
      </c>
      <c r="BV153" s="180">
        <f t="shared" si="225"/>
        <v>4.7646543591733662E-2</v>
      </c>
      <c r="BW153" s="5">
        <f t="shared" si="226"/>
        <v>0.27090000000000003</v>
      </c>
      <c r="BX153" s="180">
        <f t="shared" si="227"/>
        <v>0.85042517474997303</v>
      </c>
      <c r="BY153" s="5">
        <f t="shared" si="228"/>
        <v>85.042517474997297</v>
      </c>
      <c r="CB153" s="582">
        <f t="shared" si="268"/>
        <v>-50</v>
      </c>
      <c r="CC153">
        <f t="shared" si="269"/>
        <v>-50</v>
      </c>
    </row>
    <row r="154" spans="5:81" x14ac:dyDescent="0.25">
      <c r="E154" s="177">
        <v>44</v>
      </c>
      <c r="F154" s="224">
        <f t="shared" si="270"/>
        <v>4.4000000000000004E-2</v>
      </c>
      <c r="G154" s="224"/>
      <c r="H154" s="224">
        <f t="shared" si="240"/>
        <v>0.2772</v>
      </c>
      <c r="I154" s="560">
        <f t="shared" si="241"/>
        <v>10</v>
      </c>
      <c r="J154" s="455">
        <f t="shared" si="242"/>
        <v>13.1</v>
      </c>
      <c r="K154" s="455">
        <f t="shared" si="243"/>
        <v>23.1</v>
      </c>
      <c r="L154" s="455"/>
      <c r="M154" s="224">
        <f t="shared" si="244"/>
        <v>0.5670995670995671</v>
      </c>
      <c r="N154" s="179">
        <f t="shared" si="245"/>
        <v>3.7003246753246755</v>
      </c>
      <c r="O154" s="179">
        <f t="shared" si="236"/>
        <v>0.2772</v>
      </c>
      <c r="P154" s="224">
        <f t="shared" si="246"/>
        <v>0.58735312306740883</v>
      </c>
      <c r="Q154" s="224">
        <f t="shared" si="247"/>
        <v>6.3</v>
      </c>
      <c r="R154" s="224"/>
      <c r="S154" s="179">
        <f t="shared" si="248"/>
        <v>143.30416206031902</v>
      </c>
      <c r="T154" s="179">
        <f t="shared" si="249"/>
        <v>6.3</v>
      </c>
      <c r="U154" s="224">
        <f t="shared" si="250"/>
        <v>0.10862290076335877</v>
      </c>
      <c r="V154" s="224">
        <f t="shared" si="251"/>
        <v>0.59742595419847333</v>
      </c>
      <c r="W154" s="224">
        <f t="shared" si="252"/>
        <v>0.45605034671639183</v>
      </c>
      <c r="X154" s="204">
        <f t="shared" si="253"/>
        <v>350</v>
      </c>
      <c r="Y154" s="455">
        <f t="shared" si="195"/>
        <v>350</v>
      </c>
      <c r="AA154" s="224">
        <f t="shared" si="254"/>
        <v>0.29459717771406085</v>
      </c>
      <c r="AB154" s="180">
        <f t="shared" si="255"/>
        <v>1.2368583797155226</v>
      </c>
      <c r="AC154" s="180">
        <f t="shared" si="256"/>
        <v>0.1275312457636627</v>
      </c>
      <c r="AD154" s="180"/>
      <c r="AE154" s="180">
        <f t="shared" si="257"/>
        <v>1.217557251908397</v>
      </c>
      <c r="AF154" s="564">
        <f t="shared" si="258"/>
        <v>124.61355529131984</v>
      </c>
      <c r="AG154" s="547">
        <f t="shared" si="259"/>
        <v>0.1235820610687023</v>
      </c>
      <c r="AI154" s="180">
        <f t="shared" si="260"/>
        <v>0.17304004491116251</v>
      </c>
      <c r="AJ154" s="180">
        <f t="shared" si="261"/>
        <v>0.28999999999999998</v>
      </c>
      <c r="AK154" s="180">
        <f t="shared" si="262"/>
        <v>1.0712077458807543</v>
      </c>
      <c r="AM154" s="564">
        <f t="shared" si="263"/>
        <v>44.000000000000007</v>
      </c>
      <c r="AN154" s="473">
        <f t="shared" si="264"/>
        <v>124.61355529131984</v>
      </c>
      <c r="AP154" s="473">
        <f t="shared" si="265"/>
        <v>44.000000000000007</v>
      </c>
      <c r="AQ154" s="473">
        <f t="shared" si="266"/>
        <v>124.61355529131984</v>
      </c>
      <c r="AS154" s="5">
        <f t="shared" si="237"/>
        <v>8.0248091603053453</v>
      </c>
      <c r="AT154" s="5">
        <f t="shared" si="267"/>
        <v>1.5949999999999998</v>
      </c>
      <c r="AU154" s="5">
        <f t="shared" si="210"/>
        <v>6.4298091603053456</v>
      </c>
      <c r="AV154" s="5"/>
      <c r="AW154" s="180">
        <f t="shared" si="211"/>
        <v>0.19875862068965511</v>
      </c>
      <c r="AX154" s="180">
        <f t="shared" si="233"/>
        <v>0.28819999999999996</v>
      </c>
      <c r="AY154" s="180">
        <f t="shared" si="234"/>
        <v>0.23236000000000001</v>
      </c>
      <c r="AZ154" s="180">
        <f t="shared" si="238"/>
        <v>1.2403167498708898</v>
      </c>
      <c r="BD154" s="180">
        <f t="shared" si="239"/>
        <v>7.4644937314372925E-2</v>
      </c>
      <c r="BE154" s="180">
        <f t="shared" si="235"/>
        <v>0.29974300103032703</v>
      </c>
      <c r="BG154" s="547">
        <f t="shared" si="212"/>
        <v>1.9501533333333321E-3</v>
      </c>
      <c r="BH154" s="547">
        <f t="shared" si="213"/>
        <v>8.3478620689655149E-3</v>
      </c>
      <c r="BI154" s="547">
        <f t="shared" si="214"/>
        <v>1.5576694411414979E-3</v>
      </c>
      <c r="BJ154" s="547">
        <f t="shared" si="215"/>
        <v>3.8234647562425676E-3</v>
      </c>
      <c r="BK154">
        <f t="shared" si="216"/>
        <v>2.8999999999999998E-3</v>
      </c>
      <c r="BL154" s="473">
        <f t="shared" si="217"/>
        <v>18.579149599682914</v>
      </c>
      <c r="BM154" s="547">
        <f t="shared" si="218"/>
        <v>1.54E-2</v>
      </c>
      <c r="BP154" s="473">
        <f t="shared" si="219"/>
        <v>15.4</v>
      </c>
      <c r="BQ154" s="547">
        <f t="shared" si="220"/>
        <v>6.1290533333333301E-4</v>
      </c>
      <c r="BR154" s="547">
        <f t="shared" si="221"/>
        <v>3.1446053333333327E-3</v>
      </c>
      <c r="BS154" s="547">
        <f t="shared" si="222"/>
        <v>3.9253484630722633E-4</v>
      </c>
      <c r="BT154" s="547">
        <f t="shared" si="223"/>
        <v>1.048E-2</v>
      </c>
      <c r="BU154" s="473">
        <f t="shared" si="224"/>
        <v>14.630045512973892</v>
      </c>
      <c r="BV154" s="180">
        <f t="shared" si="225"/>
        <v>4.8609195112656808E-2</v>
      </c>
      <c r="BW154" s="5">
        <f t="shared" si="226"/>
        <v>0.2772</v>
      </c>
      <c r="BX154" s="180">
        <f t="shared" si="227"/>
        <v>0.85080471686549863</v>
      </c>
      <c r="BY154" s="5">
        <f t="shared" si="228"/>
        <v>85.080471686549856</v>
      </c>
      <c r="CB154" s="582">
        <f t="shared" si="268"/>
        <v>-50</v>
      </c>
      <c r="CC154">
        <f t="shared" si="269"/>
        <v>-50</v>
      </c>
    </row>
    <row r="155" spans="5:81" x14ac:dyDescent="0.25">
      <c r="E155" s="177">
        <v>45</v>
      </c>
      <c r="F155" s="224">
        <f t="shared" si="270"/>
        <v>4.5000000000000005E-2</v>
      </c>
      <c r="G155" s="224"/>
      <c r="H155" s="224">
        <f t="shared" si="240"/>
        <v>0.28350000000000003</v>
      </c>
      <c r="I155" s="560">
        <f t="shared" si="241"/>
        <v>10</v>
      </c>
      <c r="J155" s="455">
        <f t="shared" si="242"/>
        <v>13.1</v>
      </c>
      <c r="K155" s="455">
        <f t="shared" si="243"/>
        <v>23.1</v>
      </c>
      <c r="L155" s="455"/>
      <c r="M155" s="224">
        <f t="shared" si="244"/>
        <v>0.5670995670995671</v>
      </c>
      <c r="N155" s="179">
        <f t="shared" si="245"/>
        <v>3.7003246753246755</v>
      </c>
      <c r="O155" s="179">
        <f t="shared" si="236"/>
        <v>0.28350000000000003</v>
      </c>
      <c r="P155" s="224">
        <f t="shared" si="246"/>
        <v>0.58735312306740883</v>
      </c>
      <c r="Q155" s="224">
        <f t="shared" si="247"/>
        <v>6.3</v>
      </c>
      <c r="R155" s="224"/>
      <c r="S155" s="179">
        <f t="shared" si="248"/>
        <v>140.00891208965888</v>
      </c>
      <c r="T155" s="179">
        <f t="shared" si="249"/>
        <v>6.3</v>
      </c>
      <c r="U155" s="224">
        <f t="shared" si="250"/>
        <v>0.11109160305343513</v>
      </c>
      <c r="V155" s="224">
        <f t="shared" si="251"/>
        <v>0.61100381679389326</v>
      </c>
      <c r="W155" s="224">
        <f t="shared" si="252"/>
        <v>0.46641512732358265</v>
      </c>
      <c r="X155" s="204">
        <f t="shared" si="253"/>
        <v>350</v>
      </c>
      <c r="Y155" s="455">
        <f t="shared" si="195"/>
        <v>350</v>
      </c>
      <c r="AA155" s="224">
        <f t="shared" si="254"/>
        <v>0.29459717771406085</v>
      </c>
      <c r="AB155" s="180">
        <f t="shared" si="255"/>
        <v>1.2368583797155226</v>
      </c>
      <c r="AC155" s="180">
        <f t="shared" si="256"/>
        <v>0.1275312457636627</v>
      </c>
      <c r="AD155" s="180"/>
      <c r="AE155" s="180">
        <f t="shared" si="257"/>
        <v>1.217557251908397</v>
      </c>
      <c r="AF155" s="564">
        <f t="shared" si="258"/>
        <v>127.44568154794077</v>
      </c>
      <c r="AG155" s="547">
        <f t="shared" si="259"/>
        <v>0.1235820610687023</v>
      </c>
      <c r="AI155" s="180">
        <f t="shared" si="260"/>
        <v>0.1749953617196085</v>
      </c>
      <c r="AJ155" s="180">
        <f t="shared" si="261"/>
        <v>0.28999999999999998</v>
      </c>
      <c r="AK155" s="180">
        <f t="shared" si="262"/>
        <v>1.0728261037416804</v>
      </c>
      <c r="AM155" s="564">
        <f t="shared" si="263"/>
        <v>45.000000000000007</v>
      </c>
      <c r="AN155" s="473">
        <f t="shared" si="264"/>
        <v>127.44568154794077</v>
      </c>
      <c r="AP155" s="473">
        <f t="shared" si="265"/>
        <v>45.000000000000007</v>
      </c>
      <c r="AQ155" s="473">
        <f t="shared" si="266"/>
        <v>127.44568154794077</v>
      </c>
      <c r="AS155" s="5">
        <f t="shared" si="237"/>
        <v>7.846480067854114</v>
      </c>
      <c r="AT155" s="5">
        <f t="shared" si="267"/>
        <v>1.5949999999999998</v>
      </c>
      <c r="AU155" s="5">
        <f t="shared" si="210"/>
        <v>6.2514800678541143</v>
      </c>
      <c r="AV155" s="5"/>
      <c r="AW155" s="180">
        <f t="shared" si="211"/>
        <v>0.20327586206896547</v>
      </c>
      <c r="AX155" s="180">
        <f t="shared" si="233"/>
        <v>0.29474999999999996</v>
      </c>
      <c r="AY155" s="180">
        <f t="shared" si="234"/>
        <v>0.23105000000000001</v>
      </c>
      <c r="AZ155" s="180">
        <f t="shared" si="238"/>
        <v>1.2756979008872535</v>
      </c>
      <c r="BD155" s="180">
        <f t="shared" si="239"/>
        <v>7.5488409706391341E-2</v>
      </c>
      <c r="BE155" s="180">
        <f t="shared" si="235"/>
        <v>0.29889686069501187</v>
      </c>
      <c r="BG155" s="547">
        <f t="shared" si="212"/>
        <v>1.9944749999999995E-3</v>
      </c>
      <c r="BH155" s="547">
        <f t="shared" si="213"/>
        <v>8.5375862068965518E-3</v>
      </c>
      <c r="BI155" s="547">
        <f t="shared" si="214"/>
        <v>1.5930710193492595E-3</v>
      </c>
      <c r="BJ155" s="547">
        <f t="shared" si="215"/>
        <v>3.9103616825208083E-3</v>
      </c>
      <c r="BK155">
        <f t="shared" si="216"/>
        <v>2.8999999999999998E-3</v>
      </c>
      <c r="BL155" s="473">
        <f t="shared" si="217"/>
        <v>18.93549390876662</v>
      </c>
      <c r="BM155" s="547">
        <f t="shared" si="218"/>
        <v>1.575E-2</v>
      </c>
      <c r="BP155" s="473">
        <f t="shared" si="219"/>
        <v>15.75</v>
      </c>
      <c r="BQ155" s="547">
        <f t="shared" si="220"/>
        <v>6.2683499999999985E-4</v>
      </c>
      <c r="BR155" s="547">
        <f t="shared" si="221"/>
        <v>3.1268766666666665E-3</v>
      </c>
      <c r="BS155" s="547">
        <f t="shared" si="222"/>
        <v>4.1521956529147637E-4</v>
      </c>
      <c r="BT155" s="547">
        <f t="shared" si="223"/>
        <v>1.0718181818181819E-2</v>
      </c>
      <c r="BU155" s="473">
        <f t="shared" si="224"/>
        <v>14.887113050139963</v>
      </c>
      <c r="BV155" s="180">
        <f t="shared" si="225"/>
        <v>4.9572606958906577E-2</v>
      </c>
      <c r="BW155" s="5">
        <f t="shared" si="226"/>
        <v>0.28350000000000003</v>
      </c>
      <c r="BX155" s="180">
        <f t="shared" si="227"/>
        <v>0.85116576409112299</v>
      </c>
      <c r="BY155" s="5">
        <f t="shared" si="228"/>
        <v>85.116576409112298</v>
      </c>
      <c r="CB155" s="582">
        <f t="shared" si="268"/>
        <v>-50</v>
      </c>
      <c r="CC155">
        <f t="shared" si="269"/>
        <v>-50</v>
      </c>
    </row>
    <row r="156" spans="5:81" s="77" customFormat="1" x14ac:dyDescent="0.25">
      <c r="E156" s="196">
        <v>46</v>
      </c>
      <c r="F156" s="336">
        <f t="shared" si="270"/>
        <v>4.6000000000000006E-2</v>
      </c>
      <c r="G156" s="336"/>
      <c r="H156" s="336">
        <f t="shared" si="240"/>
        <v>0.28980000000000006</v>
      </c>
      <c r="I156" s="560">
        <f t="shared" si="241"/>
        <v>10</v>
      </c>
      <c r="J156" s="455">
        <f t="shared" si="242"/>
        <v>13.1</v>
      </c>
      <c r="K156" s="554">
        <f t="shared" si="243"/>
        <v>23.1</v>
      </c>
      <c r="L156" s="554"/>
      <c r="M156" s="336">
        <f t="shared" si="244"/>
        <v>0.5670995670995671</v>
      </c>
      <c r="N156" s="555">
        <f t="shared" si="245"/>
        <v>3.7003246753246755</v>
      </c>
      <c r="O156" s="179">
        <f t="shared" si="236"/>
        <v>0.28980000000000006</v>
      </c>
      <c r="P156" s="336">
        <f t="shared" si="246"/>
        <v>0.58735312306740883</v>
      </c>
      <c r="Q156" s="336">
        <f t="shared" si="247"/>
        <v>6.3</v>
      </c>
      <c r="R156" s="336"/>
      <c r="S156" s="179">
        <f t="shared" si="248"/>
        <v>136.85694305778324</v>
      </c>
      <c r="T156" s="179">
        <f t="shared" si="249"/>
        <v>6.3</v>
      </c>
      <c r="U156" s="224">
        <f t="shared" si="250"/>
        <v>0.11356030534351147</v>
      </c>
      <c r="V156" s="336">
        <f t="shared" si="251"/>
        <v>0.62458167938931308</v>
      </c>
      <c r="W156" s="336">
        <f t="shared" si="252"/>
        <v>0.47677990793077335</v>
      </c>
      <c r="X156" s="556">
        <f t="shared" si="253"/>
        <v>350</v>
      </c>
      <c r="Y156" s="554">
        <f t="shared" si="195"/>
        <v>350</v>
      </c>
      <c r="AA156" s="336">
        <f t="shared" si="254"/>
        <v>0.29459717771406085</v>
      </c>
      <c r="AB156" s="557">
        <f t="shared" si="255"/>
        <v>1.2368583797155226</v>
      </c>
      <c r="AC156" s="557">
        <f t="shared" si="256"/>
        <v>0.1275312457636627</v>
      </c>
      <c r="AD156" s="557"/>
      <c r="AE156" s="557">
        <f t="shared" si="257"/>
        <v>1.217557251908397</v>
      </c>
      <c r="AF156" s="584">
        <f t="shared" si="258"/>
        <v>130.27780780456166</v>
      </c>
      <c r="AG156" s="601">
        <f t="shared" si="259"/>
        <v>0.1235820610687023</v>
      </c>
      <c r="AI156" s="557">
        <f t="shared" si="260"/>
        <v>0.17692907082753842</v>
      </c>
      <c r="AJ156" s="557">
        <f t="shared" si="261"/>
        <v>0.28999999999999998</v>
      </c>
      <c r="AK156" s="557">
        <f t="shared" si="262"/>
        <v>1.0744444616026068</v>
      </c>
      <c r="AM156" s="584">
        <f t="shared" si="263"/>
        <v>46.000000000000007</v>
      </c>
      <c r="AN156" s="585">
        <f t="shared" si="264"/>
        <v>130.27780780456166</v>
      </c>
      <c r="AP156" s="77">
        <f t="shared" si="265"/>
        <v>46.000000000000007</v>
      </c>
      <c r="AQ156" s="77">
        <f t="shared" si="266"/>
        <v>130.27780780456166</v>
      </c>
      <c r="AS156" s="553">
        <f t="shared" si="237"/>
        <v>7.675904414205112</v>
      </c>
      <c r="AT156" s="5">
        <f t="shared" si="267"/>
        <v>1.5949999999999998</v>
      </c>
      <c r="AU156" s="5">
        <f t="shared" si="210"/>
        <v>6.0809044142051123</v>
      </c>
      <c r="AV156" s="5"/>
      <c r="AW156" s="180">
        <f t="shared" si="211"/>
        <v>0.20779310344827581</v>
      </c>
      <c r="AX156" s="180">
        <f t="shared" si="233"/>
        <v>0.30130000000000001</v>
      </c>
      <c r="AY156" s="180">
        <f t="shared" si="234"/>
        <v>0.22974</v>
      </c>
      <c r="AZ156" s="180">
        <f t="shared" si="238"/>
        <v>1.3114825454862018</v>
      </c>
      <c r="BD156" s="180">
        <f t="shared" si="239"/>
        <v>7.6322561103079667E-2</v>
      </c>
      <c r="BE156" s="180">
        <f t="shared" si="235"/>
        <v>0.29804831823045069</v>
      </c>
      <c r="BG156" s="547">
        <f t="shared" si="212"/>
        <v>2.0387966666666653E-3</v>
      </c>
      <c r="BH156" s="547">
        <f t="shared" si="213"/>
        <v>8.7273103448275869E-3</v>
      </c>
      <c r="BI156" s="547">
        <f t="shared" si="214"/>
        <v>1.6284725975570207E-3</v>
      </c>
      <c r="BJ156" s="547">
        <f t="shared" si="215"/>
        <v>3.9972586087990486E-3</v>
      </c>
      <c r="BK156">
        <f t="shared" si="216"/>
        <v>2.8999999999999998E-3</v>
      </c>
      <c r="BL156" s="473">
        <f t="shared" si="217"/>
        <v>19.291838217850319</v>
      </c>
      <c r="BM156" s="547">
        <f t="shared" si="218"/>
        <v>1.61E-2</v>
      </c>
      <c r="BP156" s="473">
        <f t="shared" si="219"/>
        <v>16.100000000000001</v>
      </c>
      <c r="BQ156" s="547">
        <f t="shared" si="220"/>
        <v>6.4076466666666625E-4</v>
      </c>
      <c r="BR156" s="547">
        <f t="shared" si="221"/>
        <v>3.1091480000000004E-3</v>
      </c>
      <c r="BS156" s="547">
        <f t="shared" si="222"/>
        <v>4.3867320148539656E-4</v>
      </c>
      <c r="BT156" s="547">
        <f t="shared" si="223"/>
        <v>1.0956363636363637E-2</v>
      </c>
      <c r="BU156" s="473">
        <f t="shared" si="224"/>
        <v>15.144949504515701</v>
      </c>
      <c r="BV156" s="180">
        <f t="shared" si="225"/>
        <v>5.0536787722366021E-2</v>
      </c>
      <c r="BW156" s="5">
        <f t="shared" si="226"/>
        <v>0.28980000000000006</v>
      </c>
      <c r="BX156" s="180">
        <f t="shared" si="227"/>
        <v>0.85150947665524768</v>
      </c>
      <c r="BY156" s="5">
        <f t="shared" si="228"/>
        <v>85.150947665524768</v>
      </c>
      <c r="CB156" s="582">
        <f t="shared" si="268"/>
        <v>-50</v>
      </c>
      <c r="CC156">
        <f t="shared" si="269"/>
        <v>-50</v>
      </c>
    </row>
    <row r="157" spans="5:81" x14ac:dyDescent="0.25">
      <c r="E157" s="177">
        <v>47</v>
      </c>
      <c r="F157" s="224">
        <f t="shared" si="270"/>
        <v>4.7E-2</v>
      </c>
      <c r="G157" s="224"/>
      <c r="H157" s="224">
        <f t="shared" si="240"/>
        <v>0.29609999999999997</v>
      </c>
      <c r="I157" s="560">
        <f t="shared" si="241"/>
        <v>10</v>
      </c>
      <c r="J157" s="455">
        <f t="shared" si="242"/>
        <v>13.1</v>
      </c>
      <c r="K157" s="455">
        <f t="shared" si="243"/>
        <v>23.1</v>
      </c>
      <c r="L157" s="455"/>
      <c r="M157" s="224">
        <f t="shared" si="244"/>
        <v>0.5670995670995671</v>
      </c>
      <c r="N157" s="179">
        <f t="shared" si="245"/>
        <v>3.7003246753246755</v>
      </c>
      <c r="O157" s="179">
        <f t="shared" si="236"/>
        <v>0.29609999999999997</v>
      </c>
      <c r="P157" s="224">
        <f t="shared" si="246"/>
        <v>0.58735312306740883</v>
      </c>
      <c r="Q157" s="224">
        <f t="shared" si="247"/>
        <v>6.3</v>
      </c>
      <c r="R157" s="224"/>
      <c r="S157" s="179">
        <f t="shared" si="248"/>
        <v>133.83910939305798</v>
      </c>
      <c r="T157" s="179">
        <f t="shared" si="249"/>
        <v>6.3</v>
      </c>
      <c r="U157" s="224">
        <f t="shared" si="250"/>
        <v>0.11602900763358777</v>
      </c>
      <c r="V157" s="224">
        <f t="shared" si="251"/>
        <v>0.63815954198473268</v>
      </c>
      <c r="W157" s="224">
        <f t="shared" si="252"/>
        <v>0.48714468853796394</v>
      </c>
      <c r="X157" s="204">
        <f t="shared" si="253"/>
        <v>350</v>
      </c>
      <c r="Y157" s="455">
        <f t="shared" si="195"/>
        <v>350</v>
      </c>
      <c r="AA157" s="224">
        <f t="shared" si="254"/>
        <v>0.29459717771406085</v>
      </c>
      <c r="AB157" s="180">
        <f t="shared" si="255"/>
        <v>1.2368583797155226</v>
      </c>
      <c r="AC157" s="180">
        <f t="shared" si="256"/>
        <v>0.1275312457636627</v>
      </c>
      <c r="AD157" s="180"/>
      <c r="AE157" s="180">
        <f t="shared" si="257"/>
        <v>1.217557251908397</v>
      </c>
      <c r="AF157" s="564">
        <f t="shared" si="258"/>
        <v>133.10993406118254</v>
      </c>
      <c r="AG157" s="547">
        <f t="shared" si="259"/>
        <v>0.1235820610687023</v>
      </c>
      <c r="AI157" s="180">
        <f t="shared" si="260"/>
        <v>0.17884187312935296</v>
      </c>
      <c r="AJ157" s="180">
        <f t="shared" si="261"/>
        <v>0.28999999999999998</v>
      </c>
      <c r="AK157" s="180">
        <f t="shared" si="262"/>
        <v>1.0760628194635329</v>
      </c>
      <c r="AM157" s="564">
        <f t="shared" si="263"/>
        <v>47</v>
      </c>
      <c r="AN157" s="473">
        <f t="shared" si="264"/>
        <v>133.10993406118254</v>
      </c>
      <c r="AP157">
        <f t="shared" si="265"/>
        <v>47</v>
      </c>
      <c r="AQ157">
        <f t="shared" si="266"/>
        <v>133.10993406118254</v>
      </c>
      <c r="AS157" s="5">
        <f t="shared" si="237"/>
        <v>7.512587299009259</v>
      </c>
      <c r="AT157" s="5">
        <f t="shared" si="267"/>
        <v>1.5949999999999998</v>
      </c>
      <c r="AU157" s="5">
        <f t="shared" si="210"/>
        <v>5.9175872990092593</v>
      </c>
      <c r="AV157" s="5"/>
      <c r="AW157" s="180">
        <f t="shared" si="211"/>
        <v>0.21231034482758615</v>
      </c>
      <c r="AX157" s="180">
        <f t="shared" si="233"/>
        <v>0.3078499999999999</v>
      </c>
      <c r="AY157" s="180">
        <f t="shared" si="234"/>
        <v>0.22842999999999999</v>
      </c>
      <c r="AZ157" s="180">
        <f t="shared" si="238"/>
        <v>1.3476776255307967</v>
      </c>
      <c r="BD157" s="180">
        <f t="shared" si="239"/>
        <v>7.7147693851901136E-2</v>
      </c>
      <c r="BE157" s="180">
        <f t="shared" si="235"/>
        <v>0.29719735306133976</v>
      </c>
      <c r="BG157" s="547">
        <f t="shared" si="212"/>
        <v>2.0831183333333324E-3</v>
      </c>
      <c r="BH157" s="547">
        <f t="shared" si="213"/>
        <v>8.9170344827586186E-3</v>
      </c>
      <c r="BI157" s="547">
        <f t="shared" si="214"/>
        <v>1.6638741757647817E-3</v>
      </c>
      <c r="BJ157" s="547">
        <f t="shared" si="215"/>
        <v>4.0841555350772871E-3</v>
      </c>
      <c r="BK157">
        <f t="shared" si="216"/>
        <v>2.8999999999999998E-3</v>
      </c>
      <c r="BL157" s="473">
        <f t="shared" si="217"/>
        <v>19.648182526934018</v>
      </c>
      <c r="BM157" s="547">
        <f t="shared" si="218"/>
        <v>1.6449999999999999E-2</v>
      </c>
      <c r="BP157" s="473">
        <f t="shared" si="219"/>
        <v>16.45</v>
      </c>
      <c r="BQ157" s="547">
        <f t="shared" si="220"/>
        <v>6.5469433333333309E-4</v>
      </c>
      <c r="BR157" s="547">
        <f t="shared" si="221"/>
        <v>3.0914193333333325E-3</v>
      </c>
      <c r="BS157" s="547">
        <f t="shared" si="222"/>
        <v>4.6290425181368572E-4</v>
      </c>
      <c r="BT157" s="547">
        <f t="shared" si="223"/>
        <v>1.1194545454545454E-2</v>
      </c>
      <c r="BU157" s="473">
        <f t="shared" si="224"/>
        <v>15.403563373025804</v>
      </c>
      <c r="BV157" s="180">
        <f t="shared" si="225"/>
        <v>5.1501745899959817E-2</v>
      </c>
      <c r="BW157" s="5">
        <f t="shared" si="226"/>
        <v>0.29609999999999997</v>
      </c>
      <c r="BX157" s="180">
        <f t="shared" si="227"/>
        <v>0.85183691823348295</v>
      </c>
      <c r="BY157" s="5">
        <f t="shared" si="228"/>
        <v>85.183691823348298</v>
      </c>
      <c r="CB157" s="582">
        <f t="shared" si="268"/>
        <v>-50</v>
      </c>
      <c r="CC157">
        <f t="shared" si="269"/>
        <v>-50</v>
      </c>
    </row>
    <row r="158" spans="5:81" x14ac:dyDescent="0.25">
      <c r="E158" s="177">
        <v>48</v>
      </c>
      <c r="F158" s="224">
        <f t="shared" si="270"/>
        <v>4.8000000000000001E-2</v>
      </c>
      <c r="G158" s="224"/>
      <c r="H158" s="224">
        <f t="shared" si="240"/>
        <v>0.3024</v>
      </c>
      <c r="I158" s="560">
        <f t="shared" si="241"/>
        <v>10</v>
      </c>
      <c r="J158" s="455">
        <f t="shared" si="242"/>
        <v>13.1</v>
      </c>
      <c r="K158" s="455">
        <f t="shared" si="243"/>
        <v>23.1</v>
      </c>
      <c r="L158" s="455"/>
      <c r="M158" s="224">
        <f t="shared" si="244"/>
        <v>0.5670995670995671</v>
      </c>
      <c r="N158" s="179">
        <f t="shared" si="245"/>
        <v>3.7003246753246755</v>
      </c>
      <c r="O158" s="179">
        <f t="shared" si="236"/>
        <v>0.3024</v>
      </c>
      <c r="P158" s="224">
        <f t="shared" si="246"/>
        <v>0.58735312306740883</v>
      </c>
      <c r="Q158" s="224">
        <f t="shared" si="247"/>
        <v>6.3</v>
      </c>
      <c r="R158" s="224"/>
      <c r="S158" s="179">
        <f t="shared" si="248"/>
        <v>130.94702765487409</v>
      </c>
      <c r="T158" s="179">
        <f t="shared" si="249"/>
        <v>6.3</v>
      </c>
      <c r="U158" s="224">
        <f t="shared" si="250"/>
        <v>0.11849770992366412</v>
      </c>
      <c r="V158" s="224">
        <f t="shared" si="251"/>
        <v>0.65173740458015272</v>
      </c>
      <c r="W158" s="224">
        <f t="shared" si="252"/>
        <v>0.49750946914515481</v>
      </c>
      <c r="X158" s="204">
        <f t="shared" si="253"/>
        <v>350</v>
      </c>
      <c r="Y158" s="455">
        <f t="shared" si="195"/>
        <v>350</v>
      </c>
      <c r="AA158" s="224">
        <f t="shared" si="254"/>
        <v>0.29459717771406085</v>
      </c>
      <c r="AB158" s="180">
        <f t="shared" si="255"/>
        <v>1.2368583797155226</v>
      </c>
      <c r="AC158" s="180">
        <f t="shared" si="256"/>
        <v>0.1275312457636627</v>
      </c>
      <c r="AD158" s="180"/>
      <c r="AE158" s="180">
        <f t="shared" si="257"/>
        <v>1.217557251908397</v>
      </c>
      <c r="AF158" s="564">
        <f t="shared" si="258"/>
        <v>135.94206031780345</v>
      </c>
      <c r="AG158" s="547">
        <f t="shared" si="259"/>
        <v>0.1235820610687023</v>
      </c>
      <c r="AI158" s="180">
        <f t="shared" si="260"/>
        <v>0.1807344324276231</v>
      </c>
      <c r="AJ158" s="180">
        <f t="shared" si="261"/>
        <v>0.28999999999999998</v>
      </c>
      <c r="AK158" s="180">
        <f t="shared" si="262"/>
        <v>1.0776811773244592</v>
      </c>
      <c r="AM158" s="564">
        <f t="shared" si="263"/>
        <v>48</v>
      </c>
      <c r="AN158" s="473">
        <f t="shared" si="264"/>
        <v>135.94206031780345</v>
      </c>
      <c r="AP158">
        <f t="shared" si="265"/>
        <v>48</v>
      </c>
      <c r="AQ158">
        <f t="shared" si="266"/>
        <v>135.94206031780345</v>
      </c>
      <c r="AS158" s="5">
        <f t="shared" si="237"/>
        <v>7.3560750636132326</v>
      </c>
      <c r="AT158" s="5">
        <f t="shared" si="267"/>
        <v>1.5949999999999998</v>
      </c>
      <c r="AU158" s="5">
        <f t="shared" si="210"/>
        <v>5.7610750636132328</v>
      </c>
      <c r="AV158" s="5"/>
      <c r="AW158" s="180">
        <f t="shared" si="211"/>
        <v>0.21682758620689649</v>
      </c>
      <c r="AX158" s="180">
        <f t="shared" si="233"/>
        <v>0.31439999999999996</v>
      </c>
      <c r="AY158" s="180">
        <f t="shared" si="234"/>
        <v>0.22712000000000002</v>
      </c>
      <c r="AZ158" s="180">
        <f t="shared" si="238"/>
        <v>1.3842902430433248</v>
      </c>
      <c r="BD158" s="180">
        <f t="shared" si="239"/>
        <v>7.7964094299876247E-2</v>
      </c>
      <c r="BE158" s="180">
        <f t="shared" si="235"/>
        <v>0.29634394431695971</v>
      </c>
      <c r="BG158" s="547">
        <f t="shared" si="212"/>
        <v>2.1274399999999982E-3</v>
      </c>
      <c r="BH158" s="547">
        <f t="shared" si="213"/>
        <v>9.1067586206896537E-3</v>
      </c>
      <c r="BI158" s="547">
        <f t="shared" si="214"/>
        <v>1.6992757539725431E-3</v>
      </c>
      <c r="BJ158" s="547">
        <f t="shared" si="215"/>
        <v>4.1710524613555273E-3</v>
      </c>
      <c r="BK158">
        <f t="shared" si="216"/>
        <v>2.8999999999999998E-3</v>
      </c>
      <c r="BL158" s="473">
        <f t="shared" si="217"/>
        <v>20.004526836017721</v>
      </c>
      <c r="BM158" s="547">
        <f t="shared" si="218"/>
        <v>1.6799999999999999E-2</v>
      </c>
      <c r="BP158" s="473">
        <f t="shared" si="219"/>
        <v>16.8</v>
      </c>
      <c r="BQ158" s="547">
        <f t="shared" si="220"/>
        <v>6.6862399999999961E-4</v>
      </c>
      <c r="BR158" s="547">
        <f t="shared" si="221"/>
        <v>3.0736906666666663E-3</v>
      </c>
      <c r="BS158" s="547">
        <f t="shared" si="222"/>
        <v>4.8792112132349974E-4</v>
      </c>
      <c r="BT158" s="547">
        <f t="shared" si="223"/>
        <v>1.143272727272727E-2</v>
      </c>
      <c r="BU158" s="473">
        <f t="shared" si="224"/>
        <v>15.662963060717436</v>
      </c>
      <c r="BV158" s="180">
        <f t="shared" si="225"/>
        <v>5.2467489896735151E-2</v>
      </c>
      <c r="BW158" s="5">
        <f t="shared" si="226"/>
        <v>0.3024</v>
      </c>
      <c r="BX158" s="180">
        <f t="shared" si="227"/>
        <v>0.85214906580480798</v>
      </c>
      <c r="BY158" s="5">
        <f t="shared" si="228"/>
        <v>85.2149065804808</v>
      </c>
      <c r="CB158" s="582">
        <f t="shared" si="268"/>
        <v>-50</v>
      </c>
      <c r="CC158">
        <f t="shared" si="269"/>
        <v>-50</v>
      </c>
    </row>
    <row r="159" spans="5:81" x14ac:dyDescent="0.25">
      <c r="E159" s="177">
        <v>49</v>
      </c>
      <c r="F159" s="224">
        <f t="shared" si="270"/>
        <v>4.9000000000000002E-2</v>
      </c>
      <c r="G159" s="224"/>
      <c r="H159" s="224">
        <f t="shared" si="240"/>
        <v>0.30870000000000003</v>
      </c>
      <c r="I159" s="560">
        <f t="shared" si="241"/>
        <v>10</v>
      </c>
      <c r="J159" s="455">
        <f t="shared" si="242"/>
        <v>13.1</v>
      </c>
      <c r="K159" s="455">
        <f t="shared" si="243"/>
        <v>23.1</v>
      </c>
      <c r="L159" s="455"/>
      <c r="M159" s="224">
        <f t="shared" si="244"/>
        <v>0.5670995670995671</v>
      </c>
      <c r="N159" s="179">
        <f t="shared" si="245"/>
        <v>3.7003246753246755</v>
      </c>
      <c r="O159" s="179">
        <f t="shared" si="236"/>
        <v>0.30870000000000003</v>
      </c>
      <c r="P159" s="224">
        <f t="shared" si="246"/>
        <v>0.58735312306740883</v>
      </c>
      <c r="Q159" s="224">
        <f t="shared" si="247"/>
        <v>6.3</v>
      </c>
      <c r="R159" s="224"/>
      <c r="S159" s="179">
        <f t="shared" si="248"/>
        <v>128.17299876517586</v>
      </c>
      <c r="T159" s="179">
        <f t="shared" si="249"/>
        <v>6.3</v>
      </c>
      <c r="U159" s="224">
        <f t="shared" si="250"/>
        <v>0.12096641221374047</v>
      </c>
      <c r="V159" s="224">
        <f t="shared" si="251"/>
        <v>0.66531526717557254</v>
      </c>
      <c r="W159" s="224">
        <f t="shared" si="252"/>
        <v>0.50787424975234552</v>
      </c>
      <c r="X159" s="204">
        <f t="shared" si="253"/>
        <v>350</v>
      </c>
      <c r="Y159" s="455">
        <f t="shared" si="195"/>
        <v>350</v>
      </c>
      <c r="AA159" s="224">
        <f t="shared" si="254"/>
        <v>0.29459717771406085</v>
      </c>
      <c r="AB159" s="180">
        <f t="shared" si="255"/>
        <v>1.2368583797155226</v>
      </c>
      <c r="AC159" s="180">
        <f t="shared" si="256"/>
        <v>0.1275312457636627</v>
      </c>
      <c r="AD159" s="180"/>
      <c r="AE159" s="180">
        <f t="shared" si="257"/>
        <v>1.217557251908397</v>
      </c>
      <c r="AF159" s="564">
        <f t="shared" si="258"/>
        <v>138.77418657442439</v>
      </c>
      <c r="AG159" s="547">
        <f t="shared" si="259"/>
        <v>0.1235820610687023</v>
      </c>
      <c r="AI159" s="180">
        <f t="shared" si="260"/>
        <v>0.18260737812436426</v>
      </c>
      <c r="AJ159" s="180">
        <f t="shared" si="261"/>
        <v>0.28999999999999998</v>
      </c>
      <c r="AK159" s="180">
        <f t="shared" si="262"/>
        <v>1.0792995351853854</v>
      </c>
      <c r="AM159" s="564">
        <f t="shared" si="263"/>
        <v>49</v>
      </c>
      <c r="AN159" s="473">
        <f t="shared" si="264"/>
        <v>138.77418657442439</v>
      </c>
      <c r="AP159">
        <f t="shared" si="265"/>
        <v>49</v>
      </c>
      <c r="AQ159">
        <f t="shared" si="266"/>
        <v>138.77418657442439</v>
      </c>
      <c r="AS159" s="5">
        <f t="shared" si="237"/>
        <v>7.2059510827231659</v>
      </c>
      <c r="AT159" s="5">
        <f t="shared" si="267"/>
        <v>1.5949999999999998</v>
      </c>
      <c r="AU159" s="5">
        <f t="shared" si="210"/>
        <v>5.6109510827231661</v>
      </c>
      <c r="AV159" s="5"/>
      <c r="AW159" s="180">
        <f t="shared" si="211"/>
        <v>0.22134482758620685</v>
      </c>
      <c r="AX159" s="180">
        <f t="shared" si="233"/>
        <v>0.32095000000000001</v>
      </c>
      <c r="AY159" s="180">
        <f t="shared" si="234"/>
        <v>0.22580999999999998</v>
      </c>
      <c r="AZ159" s="180">
        <f t="shared" si="238"/>
        <v>1.4213276648509812</v>
      </c>
      <c r="BD159" s="180">
        <f t="shared" si="239"/>
        <v>7.8772033954528115E-2</v>
      </c>
      <c r="BE159" s="180">
        <f t="shared" si="235"/>
        <v>0.29548807082520268</v>
      </c>
      <c r="BG159" s="547">
        <f t="shared" si="212"/>
        <v>2.1717616666666654E-3</v>
      </c>
      <c r="BH159" s="547">
        <f t="shared" si="213"/>
        <v>9.2964827586206906E-3</v>
      </c>
      <c r="BI159" s="547">
        <f t="shared" si="214"/>
        <v>1.7346773321803048E-3</v>
      </c>
      <c r="BJ159" s="547">
        <f t="shared" si="215"/>
        <v>4.2579493876337684E-3</v>
      </c>
      <c r="BK159">
        <f t="shared" si="216"/>
        <v>2.8999999999999998E-3</v>
      </c>
      <c r="BL159" s="473">
        <f t="shared" si="217"/>
        <v>20.360871145101431</v>
      </c>
      <c r="BM159" s="547">
        <f t="shared" si="218"/>
        <v>1.7149999999999999E-2</v>
      </c>
      <c r="BP159" s="473">
        <f t="shared" si="219"/>
        <v>17.149999999999999</v>
      </c>
      <c r="BQ159" s="547">
        <f t="shared" si="220"/>
        <v>6.8255366666666634E-4</v>
      </c>
      <c r="BR159" s="547">
        <f t="shared" si="221"/>
        <v>3.0559620000000002E-3</v>
      </c>
      <c r="BS159" s="547">
        <f t="shared" si="222"/>
        <v>5.1373212610216423E-4</v>
      </c>
      <c r="BT159" s="547">
        <f t="shared" si="223"/>
        <v>1.1670909090909091E-2</v>
      </c>
      <c r="BU159" s="473">
        <f t="shared" si="224"/>
        <v>15.923156883677922</v>
      </c>
      <c r="BV159" s="180">
        <f t="shared" si="225"/>
        <v>5.3434028028779362E-2</v>
      </c>
      <c r="BW159" s="5">
        <f t="shared" si="226"/>
        <v>0.30870000000000003</v>
      </c>
      <c r="BX159" s="180">
        <f t="shared" si="227"/>
        <v>0.85244681832403546</v>
      </c>
      <c r="BY159" s="5">
        <f t="shared" si="228"/>
        <v>85.244681832403543</v>
      </c>
      <c r="CB159" s="582">
        <f t="shared" si="268"/>
        <v>-50</v>
      </c>
      <c r="CC159">
        <f t="shared" si="269"/>
        <v>-50</v>
      </c>
    </row>
    <row r="160" spans="5:81" x14ac:dyDescent="0.25">
      <c r="E160" s="177">
        <v>50</v>
      </c>
      <c r="F160" s="224">
        <f t="shared" si="270"/>
        <v>0.05</v>
      </c>
      <c r="G160" s="224"/>
      <c r="H160" s="224">
        <f t="shared" si="240"/>
        <v>0.315</v>
      </c>
      <c r="I160" s="560">
        <f t="shared" si="241"/>
        <v>10</v>
      </c>
      <c r="J160" s="455">
        <f t="shared" si="242"/>
        <v>13.1</v>
      </c>
      <c r="K160" s="455">
        <f t="shared" si="243"/>
        <v>23.1</v>
      </c>
      <c r="L160" s="455"/>
      <c r="M160" s="224">
        <f t="shared" si="244"/>
        <v>0.5670995670995671</v>
      </c>
      <c r="N160" s="179">
        <f t="shared" si="245"/>
        <v>3.7003246753246755</v>
      </c>
      <c r="O160" s="179">
        <f t="shared" si="236"/>
        <v>0.315</v>
      </c>
      <c r="P160" s="224">
        <f t="shared" si="246"/>
        <v>0.58735312306740883</v>
      </c>
      <c r="Q160" s="224">
        <f t="shared" si="247"/>
        <v>6.3</v>
      </c>
      <c r="R160" s="224"/>
      <c r="S160" s="179">
        <f t="shared" si="248"/>
        <v>125.50993957220598</v>
      </c>
      <c r="T160" s="179">
        <f t="shared" si="249"/>
        <v>6.3</v>
      </c>
      <c r="U160" s="224">
        <f t="shared" si="250"/>
        <v>0.12343511450381679</v>
      </c>
      <c r="V160" s="224">
        <f t="shared" si="251"/>
        <v>0.67889312977099237</v>
      </c>
      <c r="W160" s="224">
        <f t="shared" si="252"/>
        <v>0.51823903035953611</v>
      </c>
      <c r="X160" s="204">
        <f t="shared" si="253"/>
        <v>350</v>
      </c>
      <c r="Y160" s="455">
        <f t="shared" si="195"/>
        <v>350</v>
      </c>
      <c r="AA160" s="224">
        <f t="shared" si="254"/>
        <v>0.29459717771406085</v>
      </c>
      <c r="AB160" s="180">
        <f t="shared" si="255"/>
        <v>1.2368583797155226</v>
      </c>
      <c r="AC160" s="180">
        <f t="shared" si="256"/>
        <v>0.1275312457636627</v>
      </c>
      <c r="AD160" s="180"/>
      <c r="AE160" s="180">
        <f t="shared" si="257"/>
        <v>1.217557251908397</v>
      </c>
      <c r="AF160" s="564">
        <f t="shared" si="258"/>
        <v>141.60631283104527</v>
      </c>
      <c r="AG160" s="547">
        <f t="shared" si="259"/>
        <v>0.1235820610687023</v>
      </c>
      <c r="AI160" s="180">
        <f t="shared" si="260"/>
        <v>0.18446130766633426</v>
      </c>
      <c r="AJ160" s="180">
        <f t="shared" si="261"/>
        <v>0.28999999999999998</v>
      </c>
      <c r="AK160" s="180">
        <f t="shared" si="262"/>
        <v>1.0809178930463117</v>
      </c>
      <c r="AM160" s="564">
        <f t="shared" si="263"/>
        <v>50</v>
      </c>
      <c r="AN160" s="473">
        <f t="shared" si="264"/>
        <v>141.60631283104527</v>
      </c>
      <c r="AP160">
        <f t="shared" si="265"/>
        <v>50</v>
      </c>
      <c r="AQ160">
        <f t="shared" si="266"/>
        <v>141.60631283104527</v>
      </c>
      <c r="AS160" s="5">
        <f t="shared" si="237"/>
        <v>7.0618320610687038</v>
      </c>
      <c r="AT160" s="5">
        <f t="shared" si="267"/>
        <v>1.5949999999999998</v>
      </c>
      <c r="AU160" s="5">
        <f t="shared" si="210"/>
        <v>5.466832061068704</v>
      </c>
      <c r="AV160" s="5"/>
      <c r="AW160" s="180">
        <f t="shared" si="211"/>
        <v>0.22586206896551717</v>
      </c>
      <c r="AX160" s="180">
        <f t="shared" si="233"/>
        <v>0.32749999999999996</v>
      </c>
      <c r="AY160" s="180">
        <f t="shared" si="234"/>
        <v>0.22450000000000001</v>
      </c>
      <c r="AZ160" s="180">
        <f t="shared" si="238"/>
        <v>1.4587973273942092</v>
      </c>
      <c r="BD160" s="180">
        <f t="shared" si="239"/>
        <v>7.9571770538719722E-2</v>
      </c>
      <c r="BE160" s="180">
        <f t="shared" si="235"/>
        <v>0.29462971110644404</v>
      </c>
      <c r="BG160" s="547">
        <f t="shared" si="212"/>
        <v>2.2160833333333325E-3</v>
      </c>
      <c r="BH160" s="547">
        <f t="shared" si="213"/>
        <v>9.4862068965517223E-3</v>
      </c>
      <c r="BI160" s="547">
        <f t="shared" si="214"/>
        <v>1.7700789103880657E-3</v>
      </c>
      <c r="BJ160" s="547">
        <f t="shared" si="215"/>
        <v>4.3448463139120087E-3</v>
      </c>
      <c r="BK160">
        <f t="shared" si="216"/>
        <v>2.8999999999999998E-3</v>
      </c>
      <c r="BL160" s="473">
        <f t="shared" si="217"/>
        <v>20.71721545418513</v>
      </c>
      <c r="BM160" s="547">
        <f t="shared" si="218"/>
        <v>1.7499999999999998E-2</v>
      </c>
      <c r="BP160" s="473">
        <f t="shared" si="219"/>
        <v>17.499999999999996</v>
      </c>
      <c r="BQ160" s="547">
        <f t="shared" si="220"/>
        <v>6.9648333333333307E-4</v>
      </c>
      <c r="BR160" s="547">
        <f t="shared" si="221"/>
        <v>3.0382333333333336E-3</v>
      </c>
      <c r="BS160" s="547">
        <f t="shared" si="222"/>
        <v>5.4034549604364682E-4</v>
      </c>
      <c r="BT160" s="547">
        <f t="shared" si="223"/>
        <v>1.1909090909090907E-2</v>
      </c>
      <c r="BU160" s="473">
        <f t="shared" si="224"/>
        <v>16.184153071801219</v>
      </c>
      <c r="BV160" s="180">
        <f t="shared" si="225"/>
        <v>5.4401368525986357E-2</v>
      </c>
      <c r="BW160" s="5">
        <f t="shared" si="226"/>
        <v>0.315</v>
      </c>
      <c r="BX160" s="180">
        <f t="shared" si="227"/>
        <v>0.85273100437320282</v>
      </c>
      <c r="BY160" s="5">
        <f t="shared" si="228"/>
        <v>85.273100437320281</v>
      </c>
      <c r="CB160" s="582">
        <f t="shared" si="268"/>
        <v>-50</v>
      </c>
      <c r="CC160">
        <f t="shared" si="269"/>
        <v>-50</v>
      </c>
    </row>
    <row r="161" spans="5:81" x14ac:dyDescent="0.25">
      <c r="E161" s="177">
        <v>51</v>
      </c>
      <c r="F161" s="224">
        <f t="shared" si="270"/>
        <v>5.1000000000000004E-2</v>
      </c>
      <c r="G161" s="224"/>
      <c r="H161" s="224">
        <f t="shared" si="240"/>
        <v>0.32130000000000003</v>
      </c>
      <c r="I161" s="560">
        <f t="shared" si="241"/>
        <v>10</v>
      </c>
      <c r="J161" s="455">
        <f t="shared" si="242"/>
        <v>13.1</v>
      </c>
      <c r="K161" s="455">
        <f t="shared" si="243"/>
        <v>23.1</v>
      </c>
      <c r="L161" s="455"/>
      <c r="M161" s="224">
        <f t="shared" si="244"/>
        <v>0.5670995670995671</v>
      </c>
      <c r="N161" s="179">
        <f t="shared" si="245"/>
        <v>3.7003246753246755</v>
      </c>
      <c r="O161" s="179">
        <f t="shared" si="236"/>
        <v>0.32130000000000003</v>
      </c>
      <c r="P161" s="224">
        <f t="shared" si="246"/>
        <v>0.58735312306740883</v>
      </c>
      <c r="Q161" s="224">
        <f t="shared" si="247"/>
        <v>6.3</v>
      </c>
      <c r="R161" s="224"/>
      <c r="S161" s="179">
        <f t="shared" si="248"/>
        <v>122.95132246557419</v>
      </c>
      <c r="T161" s="179">
        <f t="shared" si="249"/>
        <v>6.3</v>
      </c>
      <c r="U161" s="224">
        <f t="shared" si="250"/>
        <v>0.12590381679389315</v>
      </c>
      <c r="V161" s="224">
        <f t="shared" si="251"/>
        <v>0.6924709923664123</v>
      </c>
      <c r="W161" s="224">
        <f t="shared" si="252"/>
        <v>0.52860381096672704</v>
      </c>
      <c r="X161" s="204">
        <f t="shared" si="253"/>
        <v>350</v>
      </c>
      <c r="Y161" s="455">
        <f t="shared" si="195"/>
        <v>350</v>
      </c>
      <c r="AA161" s="224">
        <f t="shared" si="254"/>
        <v>0.29459717771406085</v>
      </c>
      <c r="AB161" s="180">
        <f t="shared" si="255"/>
        <v>1.2368583797155226</v>
      </c>
      <c r="AC161" s="180">
        <f t="shared" si="256"/>
        <v>0.1275312457636627</v>
      </c>
      <c r="AD161" s="180"/>
      <c r="AE161" s="180">
        <f t="shared" si="257"/>
        <v>1.217557251908397</v>
      </c>
      <c r="AF161" s="564">
        <f t="shared" si="258"/>
        <v>144.43843908766618</v>
      </c>
      <c r="AG161" s="547">
        <f t="shared" si="259"/>
        <v>0.1235820610687023</v>
      </c>
      <c r="AI161" s="180">
        <f t="shared" si="260"/>
        <v>0.18629678877128694</v>
      </c>
      <c r="AJ161" s="180">
        <f t="shared" si="261"/>
        <v>0.28999999999999998</v>
      </c>
      <c r="AK161" s="180">
        <f t="shared" si="262"/>
        <v>1.0825362509072378</v>
      </c>
      <c r="AM161" s="564">
        <f t="shared" si="263"/>
        <v>51.000000000000007</v>
      </c>
      <c r="AN161" s="473">
        <f t="shared" si="264"/>
        <v>144.43843908766618</v>
      </c>
      <c r="AP161">
        <f t="shared" si="265"/>
        <v>51.000000000000007</v>
      </c>
      <c r="AQ161">
        <f t="shared" si="266"/>
        <v>144.43843908766618</v>
      </c>
      <c r="AS161" s="5">
        <f t="shared" si="237"/>
        <v>6.9233647657536306</v>
      </c>
      <c r="AT161" s="5">
        <f t="shared" si="267"/>
        <v>1.5949999999999998</v>
      </c>
      <c r="AU161" s="5">
        <f t="shared" si="210"/>
        <v>5.3283647657536308</v>
      </c>
      <c r="AV161" s="5"/>
      <c r="AW161" s="180">
        <f t="shared" si="211"/>
        <v>0.23037931034482753</v>
      </c>
      <c r="AX161" s="180">
        <f t="shared" si="233"/>
        <v>0.33404999999999996</v>
      </c>
      <c r="AY161" s="180">
        <f t="shared" si="234"/>
        <v>0.22319</v>
      </c>
      <c r="AZ161" s="180">
        <f t="shared" si="238"/>
        <v>1.4967068417043772</v>
      </c>
      <c r="BD161" s="180">
        <f t="shared" si="239"/>
        <v>8.0363548951001396E-2</v>
      </c>
      <c r="BE161" s="180">
        <f t="shared" si="235"/>
        <v>0.29376884336725251</v>
      </c>
      <c r="BG161" s="547">
        <f t="shared" si="212"/>
        <v>2.2604049999999992E-3</v>
      </c>
      <c r="BH161" s="547">
        <f t="shared" si="213"/>
        <v>9.6759310344827591E-3</v>
      </c>
      <c r="BI161" s="547">
        <f t="shared" si="214"/>
        <v>1.8054804885958271E-3</v>
      </c>
      <c r="BJ161" s="547">
        <f t="shared" si="215"/>
        <v>4.4317432401902489E-3</v>
      </c>
      <c r="BK161">
        <f t="shared" si="216"/>
        <v>2.8999999999999998E-3</v>
      </c>
      <c r="BL161" s="473">
        <f t="shared" si="217"/>
        <v>21.073559763268836</v>
      </c>
      <c r="BM161" s="547">
        <f t="shared" si="218"/>
        <v>1.7850000000000001E-2</v>
      </c>
      <c r="BP161" s="473">
        <f t="shared" si="219"/>
        <v>17.850000000000001</v>
      </c>
      <c r="BQ161" s="547">
        <f t="shared" si="220"/>
        <v>7.1041299999999969E-4</v>
      </c>
      <c r="BR161" s="547">
        <f t="shared" si="221"/>
        <v>3.020504666666667E-3</v>
      </c>
      <c r="BS161" s="547">
        <f t="shared" si="222"/>
        <v>5.6776937747453858E-4</v>
      </c>
      <c r="BT161" s="547">
        <f t="shared" si="223"/>
        <v>1.2147272727272727E-2</v>
      </c>
      <c r="BU161" s="473">
        <f t="shared" si="224"/>
        <v>16.445959771413932</v>
      </c>
      <c r="BV161" s="180">
        <f t="shared" si="225"/>
        <v>5.5369519534682769E-2</v>
      </c>
      <c r="BW161" s="5">
        <f t="shared" si="226"/>
        <v>0.32130000000000003</v>
      </c>
      <c r="BX161" s="180">
        <f t="shared" si="227"/>
        <v>0.85300238892946978</v>
      </c>
      <c r="BY161" s="5">
        <f t="shared" si="228"/>
        <v>85.300238892946979</v>
      </c>
      <c r="CB161" s="582">
        <f t="shared" si="268"/>
        <v>-50</v>
      </c>
      <c r="CC161">
        <f t="shared" si="269"/>
        <v>-50</v>
      </c>
    </row>
    <row r="162" spans="5:81" x14ac:dyDescent="0.25">
      <c r="E162" s="177">
        <v>52</v>
      </c>
      <c r="F162" s="224">
        <f t="shared" si="270"/>
        <v>5.2000000000000005E-2</v>
      </c>
      <c r="G162" s="224"/>
      <c r="H162" s="224">
        <f t="shared" si="240"/>
        <v>0.3276</v>
      </c>
      <c r="I162" s="560">
        <f t="shared" si="241"/>
        <v>10</v>
      </c>
      <c r="J162" s="455">
        <f t="shared" si="242"/>
        <v>13.1</v>
      </c>
      <c r="K162" s="455">
        <f t="shared" si="243"/>
        <v>23.1</v>
      </c>
      <c r="L162" s="455"/>
      <c r="M162" s="224">
        <f t="shared" si="244"/>
        <v>0.5670995670995671</v>
      </c>
      <c r="N162" s="179">
        <f t="shared" si="245"/>
        <v>3.7003246753246755</v>
      </c>
      <c r="O162" s="179">
        <f t="shared" si="236"/>
        <v>0.3276</v>
      </c>
      <c r="P162" s="224">
        <f t="shared" si="246"/>
        <v>0.58735312306740883</v>
      </c>
      <c r="Q162" s="224">
        <f t="shared" si="247"/>
        <v>6.3</v>
      </c>
      <c r="R162" s="224"/>
      <c r="S162" s="179">
        <f t="shared" si="248"/>
        <v>120.49112195881847</v>
      </c>
      <c r="T162" s="179">
        <f t="shared" si="249"/>
        <v>6.3</v>
      </c>
      <c r="U162" s="224">
        <f t="shared" si="250"/>
        <v>0.12837251908396946</v>
      </c>
      <c r="V162" s="224">
        <f t="shared" si="251"/>
        <v>0.70604885496183201</v>
      </c>
      <c r="W162" s="224">
        <f t="shared" si="252"/>
        <v>0.53896859157391763</v>
      </c>
      <c r="X162" s="204">
        <f t="shared" si="253"/>
        <v>350</v>
      </c>
      <c r="Y162" s="455">
        <f t="shared" si="195"/>
        <v>350</v>
      </c>
      <c r="AA162" s="224">
        <f t="shared" si="254"/>
        <v>0.29459717771406085</v>
      </c>
      <c r="AB162" s="180">
        <f t="shared" si="255"/>
        <v>1.2368583797155226</v>
      </c>
      <c r="AC162" s="180">
        <f t="shared" si="256"/>
        <v>0.1275312457636627</v>
      </c>
      <c r="AD162" s="180"/>
      <c r="AE162" s="180">
        <f t="shared" si="257"/>
        <v>1.217557251908397</v>
      </c>
      <c r="AF162" s="564">
        <f t="shared" si="258"/>
        <v>147.27056534428709</v>
      </c>
      <c r="AG162" s="547">
        <f t="shared" si="259"/>
        <v>0.1235820610687023</v>
      </c>
      <c r="AI162" s="180">
        <f t="shared" si="260"/>
        <v>0.18811436145869614</v>
      </c>
      <c r="AJ162" s="180">
        <f t="shared" si="261"/>
        <v>0.28999999999999998</v>
      </c>
      <c r="AK162" s="180">
        <f t="shared" si="262"/>
        <v>1.0841546087681642</v>
      </c>
      <c r="AM162" s="564">
        <f t="shared" si="263"/>
        <v>52.000000000000007</v>
      </c>
      <c r="AN162" s="473">
        <f t="shared" si="264"/>
        <v>147.27056534428709</v>
      </c>
      <c r="AP162">
        <f t="shared" si="265"/>
        <v>52.000000000000007</v>
      </c>
      <c r="AQ162">
        <f t="shared" si="266"/>
        <v>147.27056534428709</v>
      </c>
      <c r="AS162" s="5">
        <f t="shared" si="237"/>
        <v>6.7902231356429832</v>
      </c>
      <c r="AT162" s="5">
        <f t="shared" si="267"/>
        <v>1.5949999999999998</v>
      </c>
      <c r="AU162" s="5">
        <f t="shared" si="210"/>
        <v>5.1952231356429834</v>
      </c>
      <c r="AV162" s="5"/>
      <c r="AW162" s="180">
        <f t="shared" si="211"/>
        <v>0.2348965517241379</v>
      </c>
      <c r="AX162" s="180">
        <f t="shared" si="233"/>
        <v>0.34059999999999996</v>
      </c>
      <c r="AY162" s="180">
        <f t="shared" si="234"/>
        <v>0.22187999999999999</v>
      </c>
      <c r="AZ162" s="180">
        <f t="shared" si="238"/>
        <v>1.5350639985577788</v>
      </c>
      <c r="BD162" s="180">
        <f t="shared" si="239"/>
        <v>8.114760214161186E-2</v>
      </c>
      <c r="BE162" s="180">
        <f t="shared" si="235"/>
        <v>0.2929054454939341</v>
      </c>
      <c r="BG162" s="547">
        <f t="shared" si="212"/>
        <v>2.3047266666666654E-3</v>
      </c>
      <c r="BH162" s="547">
        <f t="shared" si="213"/>
        <v>9.8656551724137925E-3</v>
      </c>
      <c r="BI162" s="547">
        <f t="shared" si="214"/>
        <v>1.8408820668035886E-3</v>
      </c>
      <c r="BJ162" s="547">
        <f t="shared" si="215"/>
        <v>4.5186401664684891E-3</v>
      </c>
      <c r="BK162">
        <f t="shared" si="216"/>
        <v>2.8999999999999998E-3</v>
      </c>
      <c r="BL162" s="473">
        <f t="shared" si="217"/>
        <v>21.429904072352535</v>
      </c>
      <c r="BM162" s="547">
        <f t="shared" si="218"/>
        <v>1.8200000000000001E-2</v>
      </c>
      <c r="BP162" s="473">
        <f t="shared" si="219"/>
        <v>18.2</v>
      </c>
      <c r="BQ162" s="547">
        <f t="shared" si="220"/>
        <v>7.2434266666666631E-4</v>
      </c>
      <c r="BR162" s="547">
        <f t="shared" si="221"/>
        <v>3.0027760000000004E-3</v>
      </c>
      <c r="BS162" s="547">
        <f t="shared" si="222"/>
        <v>5.9601183564933198E-4</v>
      </c>
      <c r="BT162" s="547">
        <f t="shared" si="223"/>
        <v>1.2385454545454545E-2</v>
      </c>
      <c r="BU162" s="473">
        <f t="shared" si="224"/>
        <v>16.708585047770544</v>
      </c>
      <c r="BV162" s="180">
        <f t="shared" si="225"/>
        <v>5.6338489120123084E-2</v>
      </c>
      <c r="BW162" s="5">
        <f t="shared" si="226"/>
        <v>0.3276</v>
      </c>
      <c r="BX162" s="180">
        <f t="shared" si="227"/>
        <v>0.85326167936631014</v>
      </c>
      <c r="BY162" s="5">
        <f t="shared" si="228"/>
        <v>85.326167936631009</v>
      </c>
      <c r="CB162" s="582">
        <f t="shared" si="268"/>
        <v>-50</v>
      </c>
      <c r="CC162">
        <f t="shared" si="269"/>
        <v>-50</v>
      </c>
    </row>
    <row r="163" spans="5:81" x14ac:dyDescent="0.25">
      <c r="E163" s="177">
        <v>53</v>
      </c>
      <c r="F163" s="224">
        <f t="shared" si="270"/>
        <v>5.3000000000000005E-2</v>
      </c>
      <c r="G163" s="224"/>
      <c r="H163" s="224">
        <f t="shared" si="240"/>
        <v>0.33390000000000003</v>
      </c>
      <c r="I163" s="560">
        <f t="shared" si="241"/>
        <v>10</v>
      </c>
      <c r="J163" s="455">
        <f t="shared" si="242"/>
        <v>13.1</v>
      </c>
      <c r="K163" s="455">
        <f t="shared" si="243"/>
        <v>23.1</v>
      </c>
      <c r="L163" s="455"/>
      <c r="M163" s="224">
        <f t="shared" si="244"/>
        <v>0.5670995670995671</v>
      </c>
      <c r="N163" s="179">
        <f t="shared" si="245"/>
        <v>3.7003246753246755</v>
      </c>
      <c r="O163" s="179">
        <f t="shared" si="236"/>
        <v>0.33390000000000003</v>
      </c>
      <c r="P163" s="224">
        <f t="shared" si="246"/>
        <v>0.58735312306740883</v>
      </c>
      <c r="Q163" s="224">
        <f t="shared" si="247"/>
        <v>6.3</v>
      </c>
      <c r="R163" s="224"/>
      <c r="S163" s="179">
        <f t="shared" si="248"/>
        <v>118.12376731922326</v>
      </c>
      <c r="T163" s="179">
        <f t="shared" si="249"/>
        <v>6.3</v>
      </c>
      <c r="U163" s="224">
        <f t="shared" si="250"/>
        <v>0.1308412213740458</v>
      </c>
      <c r="V163" s="224">
        <f t="shared" si="251"/>
        <v>0.71962671755725183</v>
      </c>
      <c r="W163" s="224">
        <f t="shared" si="252"/>
        <v>0.54933337218110834</v>
      </c>
      <c r="X163" s="204">
        <f t="shared" si="253"/>
        <v>350</v>
      </c>
      <c r="Y163" s="455">
        <f t="shared" si="195"/>
        <v>350</v>
      </c>
      <c r="AA163" s="224">
        <f t="shared" si="254"/>
        <v>0.29459717771406085</v>
      </c>
      <c r="AB163" s="180">
        <f t="shared" si="255"/>
        <v>1.2368583797155226</v>
      </c>
      <c r="AC163" s="180">
        <f t="shared" si="256"/>
        <v>0.1275312457636627</v>
      </c>
      <c r="AD163" s="180"/>
      <c r="AE163" s="180">
        <f t="shared" si="257"/>
        <v>1.217557251908397</v>
      </c>
      <c r="AF163" s="564">
        <f t="shared" si="258"/>
        <v>150.102691600908</v>
      </c>
      <c r="AG163" s="547">
        <f t="shared" si="259"/>
        <v>0.1235820610687023</v>
      </c>
      <c r="AI163" s="180">
        <f t="shared" si="260"/>
        <v>0.18991453990553875</v>
      </c>
      <c r="AJ163" s="180">
        <f t="shared" si="261"/>
        <v>0.28999999999999998</v>
      </c>
      <c r="AK163" s="180">
        <f t="shared" si="262"/>
        <v>1.0857729666290903</v>
      </c>
      <c r="AM163" s="564">
        <f t="shared" si="263"/>
        <v>53.000000000000007</v>
      </c>
      <c r="AN163" s="473">
        <f t="shared" si="264"/>
        <v>150.102691600908</v>
      </c>
      <c r="AP163">
        <f t="shared" si="265"/>
        <v>53.000000000000007</v>
      </c>
      <c r="AQ163">
        <f t="shared" si="266"/>
        <v>150.102691600908</v>
      </c>
      <c r="AS163" s="5">
        <f t="shared" si="237"/>
        <v>6.6621057179893421</v>
      </c>
      <c r="AT163" s="5">
        <f t="shared" si="267"/>
        <v>1.5949999999999998</v>
      </c>
      <c r="AU163" s="5">
        <f t="shared" si="210"/>
        <v>5.0671057179893424</v>
      </c>
      <c r="AV163" s="5"/>
      <c r="AW163" s="180">
        <f t="shared" si="211"/>
        <v>0.23941379310344824</v>
      </c>
      <c r="AX163" s="180">
        <f t="shared" si="233"/>
        <v>0.34715000000000001</v>
      </c>
      <c r="AY163" s="180">
        <f t="shared" si="234"/>
        <v>0.22056999999999999</v>
      </c>
      <c r="AZ163" s="180">
        <f t="shared" si="238"/>
        <v>1.5738767738133022</v>
      </c>
      <c r="BD163" s="180">
        <f t="shared" si="239"/>
        <v>8.1924151913014429E-2</v>
      </c>
      <c r="BE163" s="180">
        <f t="shared" si="235"/>
        <v>0.29203949504590415</v>
      </c>
      <c r="BG163" s="547">
        <f t="shared" si="212"/>
        <v>2.349048333333333E-3</v>
      </c>
      <c r="BH163" s="547">
        <f t="shared" si="213"/>
        <v>1.0055379310344828E-2</v>
      </c>
      <c r="BI163" s="547">
        <f t="shared" si="214"/>
        <v>1.87628364501135E-3</v>
      </c>
      <c r="BJ163" s="547">
        <f t="shared" si="215"/>
        <v>4.6055370927467294E-3</v>
      </c>
      <c r="BK163">
        <f t="shared" si="216"/>
        <v>2.8999999999999998E-3</v>
      </c>
      <c r="BL163" s="473">
        <f t="shared" si="217"/>
        <v>21.786248381436238</v>
      </c>
      <c r="BM163" s="547">
        <f t="shared" si="218"/>
        <v>1.8550000000000001E-2</v>
      </c>
      <c r="BP163" s="473">
        <f t="shared" si="219"/>
        <v>18.55</v>
      </c>
      <c r="BQ163" s="547">
        <f t="shared" si="220"/>
        <v>7.3827233333333326E-4</v>
      </c>
      <c r="BR163" s="547">
        <f t="shared" si="221"/>
        <v>2.9850473333333338E-3</v>
      </c>
      <c r="BS163" s="547">
        <f t="shared" si="222"/>
        <v>6.2508085712393853E-4</v>
      </c>
      <c r="BT163" s="547">
        <f t="shared" si="223"/>
        <v>1.2623636363636365E-2</v>
      </c>
      <c r="BU163" s="473">
        <f t="shared" si="224"/>
        <v>16.97203688742697</v>
      </c>
      <c r="BV163" s="180">
        <f t="shared" si="225"/>
        <v>5.7308285268863203E-2</v>
      </c>
      <c r="BW163" s="5">
        <f t="shared" si="226"/>
        <v>0.33390000000000003</v>
      </c>
      <c r="BX163" s="180">
        <f t="shared" si="227"/>
        <v>0.85350953078747471</v>
      </c>
      <c r="BY163" s="5">
        <f t="shared" si="228"/>
        <v>85.350953078747466</v>
      </c>
      <c r="CB163" s="582">
        <f t="shared" si="268"/>
        <v>-50</v>
      </c>
      <c r="CC163">
        <f t="shared" si="269"/>
        <v>-50</v>
      </c>
    </row>
    <row r="164" spans="5:81" x14ac:dyDescent="0.25">
      <c r="E164" s="177">
        <v>54</v>
      </c>
      <c r="F164" s="224">
        <f t="shared" si="270"/>
        <v>5.4000000000000006E-2</v>
      </c>
      <c r="G164" s="224"/>
      <c r="H164" s="224">
        <f t="shared" si="240"/>
        <v>0.34020000000000006</v>
      </c>
      <c r="I164" s="560">
        <f t="shared" si="241"/>
        <v>10</v>
      </c>
      <c r="J164" s="455">
        <f t="shared" si="242"/>
        <v>13.1</v>
      </c>
      <c r="K164" s="455">
        <f t="shared" si="243"/>
        <v>23.1</v>
      </c>
      <c r="L164" s="455"/>
      <c r="M164" s="224">
        <f t="shared" si="244"/>
        <v>0.5670995670995671</v>
      </c>
      <c r="N164" s="179">
        <f t="shared" si="245"/>
        <v>3.7003246753246755</v>
      </c>
      <c r="O164" s="179">
        <f t="shared" si="236"/>
        <v>0.34020000000000006</v>
      </c>
      <c r="P164" s="224">
        <f t="shared" si="246"/>
        <v>0.58735312306740883</v>
      </c>
      <c r="Q164" s="224">
        <f t="shared" si="247"/>
        <v>6.3</v>
      </c>
      <c r="R164" s="224"/>
      <c r="S164" s="179">
        <f t="shared" si="248"/>
        <v>115.8441004609913</v>
      </c>
      <c r="T164" s="179">
        <f t="shared" si="249"/>
        <v>6.3</v>
      </c>
      <c r="U164" s="224">
        <f t="shared" si="250"/>
        <v>0.13330992366412217</v>
      </c>
      <c r="V164" s="224">
        <f t="shared" si="251"/>
        <v>0.73320458015267198</v>
      </c>
      <c r="W164" s="224">
        <f t="shared" si="252"/>
        <v>0.55969815278829926</v>
      </c>
      <c r="X164" s="204">
        <f t="shared" si="253"/>
        <v>350</v>
      </c>
      <c r="Y164" s="455">
        <f t="shared" si="195"/>
        <v>350</v>
      </c>
      <c r="AA164" s="224">
        <f t="shared" si="254"/>
        <v>0.29459717771406085</v>
      </c>
      <c r="AB164" s="180">
        <f t="shared" si="255"/>
        <v>1.2368583797155226</v>
      </c>
      <c r="AC164" s="180">
        <f t="shared" si="256"/>
        <v>0.1275312457636627</v>
      </c>
      <c r="AD164" s="180"/>
      <c r="AE164" s="180">
        <f t="shared" si="257"/>
        <v>1.217557251908397</v>
      </c>
      <c r="AF164" s="564">
        <f t="shared" si="258"/>
        <v>152.93481785752891</v>
      </c>
      <c r="AG164" s="547">
        <f t="shared" si="259"/>
        <v>0.1235820610687023</v>
      </c>
      <c r="AI164" s="180">
        <f t="shared" si="260"/>
        <v>0.19169781414521123</v>
      </c>
      <c r="AJ164" s="180">
        <f t="shared" si="261"/>
        <v>0.28999999999999998</v>
      </c>
      <c r="AK164" s="180">
        <f t="shared" si="262"/>
        <v>1.0873913244900164</v>
      </c>
      <c r="AM164" s="564">
        <f t="shared" si="263"/>
        <v>54.000000000000007</v>
      </c>
      <c r="AN164" s="473">
        <f t="shared" si="264"/>
        <v>152.93481785752891</v>
      </c>
      <c r="AP164">
        <f t="shared" si="265"/>
        <v>54.000000000000007</v>
      </c>
      <c r="AQ164">
        <f t="shared" si="266"/>
        <v>152.93481785752891</v>
      </c>
      <c r="AS164" s="5">
        <f t="shared" si="237"/>
        <v>6.5387333898784279</v>
      </c>
      <c r="AT164" s="5">
        <f t="shared" si="267"/>
        <v>1.5949999999999998</v>
      </c>
      <c r="AU164" s="5">
        <f t="shared" si="210"/>
        <v>4.9437333898784281</v>
      </c>
      <c r="AV164" s="5"/>
      <c r="AW164" s="180">
        <f t="shared" si="211"/>
        <v>0.2439310344827586</v>
      </c>
      <c r="AX164" s="180">
        <f t="shared" si="233"/>
        <v>0.35369999999999996</v>
      </c>
      <c r="AY164" s="180">
        <f t="shared" si="234"/>
        <v>0.21926000000000001</v>
      </c>
      <c r="AZ164" s="180">
        <f t="shared" si="238"/>
        <v>1.6131533339414392</v>
      </c>
      <c r="BD164" s="180">
        <f t="shared" si="239"/>
        <v>8.2693409652764949E-2</v>
      </c>
      <c r="BE164" s="180">
        <f t="shared" si="235"/>
        <v>0.29117096924888192</v>
      </c>
      <c r="BG164" s="547">
        <f t="shared" si="212"/>
        <v>2.3933699999999997E-3</v>
      </c>
      <c r="BH164" s="547">
        <f t="shared" si="213"/>
        <v>1.0245103448275861E-2</v>
      </c>
      <c r="BI164" s="547">
        <f t="shared" si="214"/>
        <v>1.9116852232191114E-3</v>
      </c>
      <c r="BJ164" s="547">
        <f t="shared" si="215"/>
        <v>4.6924340190249696E-3</v>
      </c>
      <c r="BK164">
        <f t="shared" si="216"/>
        <v>2.8999999999999998E-3</v>
      </c>
      <c r="BL164" s="473">
        <f t="shared" si="217"/>
        <v>22.142592690519944</v>
      </c>
      <c r="BM164" s="547">
        <f t="shared" si="218"/>
        <v>1.89E-2</v>
      </c>
      <c r="BP164" s="473">
        <f t="shared" si="219"/>
        <v>18.899999999999999</v>
      </c>
      <c r="BQ164" s="547">
        <f t="shared" si="220"/>
        <v>7.5220199999999988E-4</v>
      </c>
      <c r="BR164" s="547">
        <f t="shared" si="221"/>
        <v>2.9673186666666672E-3</v>
      </c>
      <c r="BS164" s="547">
        <f t="shared" si="222"/>
        <v>6.5498435201557701E-4</v>
      </c>
      <c r="BT164" s="547">
        <f t="shared" si="223"/>
        <v>1.2861818181818183E-2</v>
      </c>
      <c r="BU164" s="473">
        <f t="shared" si="224"/>
        <v>17.236323200500426</v>
      </c>
      <c r="BV164" s="180">
        <f t="shared" si="225"/>
        <v>5.8278915891020369E-2</v>
      </c>
      <c r="BW164" s="5">
        <f t="shared" si="226"/>
        <v>0.34020000000000006</v>
      </c>
      <c r="BX164" s="180">
        <f t="shared" si="227"/>
        <v>0.8537465507787142</v>
      </c>
      <c r="BY164" s="5">
        <f t="shared" si="228"/>
        <v>85.374655077871424</v>
      </c>
      <c r="CB164" s="582">
        <f t="shared" si="268"/>
        <v>-50</v>
      </c>
      <c r="CC164">
        <f t="shared" si="269"/>
        <v>-50</v>
      </c>
    </row>
    <row r="165" spans="5:81" x14ac:dyDescent="0.25">
      <c r="E165" s="177">
        <v>55</v>
      </c>
      <c r="F165" s="224">
        <f t="shared" si="270"/>
        <v>5.5000000000000007E-2</v>
      </c>
      <c r="G165" s="224"/>
      <c r="H165" s="224">
        <f t="shared" si="240"/>
        <v>0.34650000000000003</v>
      </c>
      <c r="I165" s="560">
        <f t="shared" si="241"/>
        <v>10</v>
      </c>
      <c r="J165" s="455">
        <f t="shared" si="242"/>
        <v>13.1</v>
      </c>
      <c r="K165" s="455">
        <f t="shared" si="243"/>
        <v>23.1</v>
      </c>
      <c r="L165" s="455"/>
      <c r="M165" s="224">
        <f t="shared" si="244"/>
        <v>0.5670995670995671</v>
      </c>
      <c r="N165" s="179">
        <f t="shared" si="245"/>
        <v>3.7003246753246755</v>
      </c>
      <c r="O165" s="179">
        <f t="shared" si="236"/>
        <v>0.34650000000000003</v>
      </c>
      <c r="P165" s="224">
        <f t="shared" si="246"/>
        <v>0.58735312306740883</v>
      </c>
      <c r="Q165" s="224">
        <f t="shared" si="247"/>
        <v>6.3</v>
      </c>
      <c r="R165" s="224"/>
      <c r="S165" s="179">
        <f t="shared" si="248"/>
        <v>113.64733843188748</v>
      </c>
      <c r="T165" s="179">
        <f t="shared" si="249"/>
        <v>6.3</v>
      </c>
      <c r="U165" s="224">
        <f t="shared" si="250"/>
        <v>0.13577862595419848</v>
      </c>
      <c r="V165" s="224">
        <f t="shared" si="251"/>
        <v>0.74678244274809169</v>
      </c>
      <c r="W165" s="224">
        <f t="shared" si="252"/>
        <v>0.57006293339548986</v>
      </c>
      <c r="X165" s="204">
        <f t="shared" si="253"/>
        <v>350</v>
      </c>
      <c r="Y165" s="455">
        <f t="shared" si="195"/>
        <v>350</v>
      </c>
      <c r="AA165" s="224">
        <f t="shared" si="254"/>
        <v>0.29459717771406085</v>
      </c>
      <c r="AB165" s="180">
        <f t="shared" si="255"/>
        <v>1.2368583797155226</v>
      </c>
      <c r="AC165" s="180">
        <f t="shared" si="256"/>
        <v>0.1275312457636627</v>
      </c>
      <c r="AD165" s="180"/>
      <c r="AE165" s="180">
        <f t="shared" si="257"/>
        <v>1.217557251908397</v>
      </c>
      <c r="AF165" s="564">
        <f t="shared" si="258"/>
        <v>155.76694411414982</v>
      </c>
      <c r="AG165" s="547">
        <f t="shared" si="259"/>
        <v>0.1235820610687023</v>
      </c>
      <c r="AI165" s="180">
        <f t="shared" si="260"/>
        <v>0.19346465162548798</v>
      </c>
      <c r="AJ165" s="180">
        <f t="shared" si="261"/>
        <v>0.28999999999999998</v>
      </c>
      <c r="AK165" s="180">
        <f t="shared" si="262"/>
        <v>1.0890096823509428</v>
      </c>
      <c r="AM165" s="564">
        <f t="shared" si="263"/>
        <v>55.000000000000007</v>
      </c>
      <c r="AN165" s="473">
        <f t="shared" si="264"/>
        <v>155.76694411414982</v>
      </c>
      <c r="AP165">
        <f t="shared" si="265"/>
        <v>55.000000000000007</v>
      </c>
      <c r="AQ165">
        <f t="shared" si="266"/>
        <v>155.76694411414982</v>
      </c>
      <c r="AS165" s="5">
        <f t="shared" si="237"/>
        <v>6.4198473282442752</v>
      </c>
      <c r="AT165" s="5">
        <f t="shared" si="267"/>
        <v>1.5949999999999998</v>
      </c>
      <c r="AU165" s="5">
        <f t="shared" si="210"/>
        <v>4.8248473282442754</v>
      </c>
      <c r="AV165" s="5"/>
      <c r="AW165" s="180">
        <f t="shared" si="211"/>
        <v>0.24844827586206891</v>
      </c>
      <c r="AX165" s="180">
        <f t="shared" si="233"/>
        <v>0.36025000000000001</v>
      </c>
      <c r="AY165" s="180">
        <f t="shared" si="234"/>
        <v>0.21794999999999998</v>
      </c>
      <c r="AZ165" s="180">
        <f t="shared" si="238"/>
        <v>1.6529020417526958</v>
      </c>
      <c r="BD165" s="180">
        <f t="shared" si="239"/>
        <v>8.3455577005574239E-2</v>
      </c>
      <c r="BE165" s="180">
        <f t="shared" si="235"/>
        <v>0.29029984498790212</v>
      </c>
      <c r="BG165" s="547">
        <f t="shared" si="212"/>
        <v>2.437691666666666E-3</v>
      </c>
      <c r="BH165" s="547">
        <f t="shared" si="213"/>
        <v>1.0434827586206894E-2</v>
      </c>
      <c r="BI165" s="547">
        <f t="shared" si="214"/>
        <v>1.9470868014268726E-3</v>
      </c>
      <c r="BJ165" s="547">
        <f t="shared" si="215"/>
        <v>4.7793309453032099E-3</v>
      </c>
      <c r="BK165">
        <f t="shared" si="216"/>
        <v>2.8999999999999998E-3</v>
      </c>
      <c r="BL165" s="473">
        <f t="shared" si="217"/>
        <v>22.498936999603643</v>
      </c>
      <c r="BM165" s="547">
        <f t="shared" si="218"/>
        <v>1.925E-2</v>
      </c>
      <c r="BP165" s="473">
        <f t="shared" si="219"/>
        <v>19.25</v>
      </c>
      <c r="BQ165" s="547">
        <f t="shared" si="220"/>
        <v>7.6613166666666651E-4</v>
      </c>
      <c r="BR165" s="547">
        <f t="shared" si="221"/>
        <v>2.9495900000000002E-3</v>
      </c>
      <c r="BS165" s="547">
        <f t="shared" si="222"/>
        <v>6.8573015615655455E-4</v>
      </c>
      <c r="BT165" s="547">
        <f t="shared" si="223"/>
        <v>1.3100000000000002E-2</v>
      </c>
      <c r="BU165" s="473">
        <f t="shared" si="224"/>
        <v>17.501451822823224</v>
      </c>
      <c r="BV165" s="180">
        <f t="shared" si="225"/>
        <v>5.9250388822426871E-2</v>
      </c>
      <c r="BW165" s="5">
        <f t="shared" si="226"/>
        <v>0.34650000000000003</v>
      </c>
      <c r="BX165" s="180">
        <f t="shared" si="227"/>
        <v>0.85397330365009883</v>
      </c>
      <c r="BY165" s="5">
        <f t="shared" si="228"/>
        <v>85.397330365009879</v>
      </c>
      <c r="CB165" s="582">
        <f t="shared" si="268"/>
        <v>-50</v>
      </c>
      <c r="CC165">
        <f t="shared" si="269"/>
        <v>-50</v>
      </c>
    </row>
    <row r="166" spans="5:81" x14ac:dyDescent="0.25">
      <c r="E166" s="177">
        <v>56</v>
      </c>
      <c r="F166" s="224">
        <f t="shared" si="270"/>
        <v>5.6000000000000008E-2</v>
      </c>
      <c r="G166" s="224"/>
      <c r="H166" s="224">
        <f t="shared" si="240"/>
        <v>0.35280000000000006</v>
      </c>
      <c r="I166" s="560">
        <f t="shared" si="241"/>
        <v>10</v>
      </c>
      <c r="J166" s="455">
        <f t="shared" si="242"/>
        <v>13.1</v>
      </c>
      <c r="K166" s="455">
        <f t="shared" si="243"/>
        <v>23.1</v>
      </c>
      <c r="L166" s="455"/>
      <c r="M166" s="224">
        <f t="shared" si="244"/>
        <v>0.5670995670995671</v>
      </c>
      <c r="N166" s="179">
        <f t="shared" si="245"/>
        <v>3.7003246753246755</v>
      </c>
      <c r="O166" s="179">
        <f t="shared" si="236"/>
        <v>0.35280000000000006</v>
      </c>
      <c r="P166" s="224">
        <f t="shared" si="246"/>
        <v>0.58735312306740883</v>
      </c>
      <c r="Q166" s="224">
        <f t="shared" si="247"/>
        <v>6.3</v>
      </c>
      <c r="R166" s="224"/>
      <c r="S166" s="179">
        <f t="shared" si="248"/>
        <v>111.52903991917105</v>
      </c>
      <c r="T166" s="179">
        <f t="shared" si="249"/>
        <v>6.3</v>
      </c>
      <c r="U166" s="224">
        <f t="shared" si="250"/>
        <v>0.13824732824427483</v>
      </c>
      <c r="V166" s="224">
        <f t="shared" si="251"/>
        <v>0.76036030534351162</v>
      </c>
      <c r="W166" s="224">
        <f t="shared" si="252"/>
        <v>0.58042771400268056</v>
      </c>
      <c r="X166" s="204">
        <f t="shared" si="253"/>
        <v>350</v>
      </c>
      <c r="Y166" s="455">
        <f t="shared" si="195"/>
        <v>350</v>
      </c>
      <c r="AA166" s="224">
        <f t="shared" si="254"/>
        <v>0.29459717771406085</v>
      </c>
      <c r="AB166" s="180">
        <f t="shared" si="255"/>
        <v>1.2368583797155226</v>
      </c>
      <c r="AC166" s="180">
        <f t="shared" si="256"/>
        <v>0.1275312457636627</v>
      </c>
      <c r="AD166" s="180"/>
      <c r="AE166" s="180">
        <f t="shared" si="257"/>
        <v>1.217557251908397</v>
      </c>
      <c r="AF166" s="564">
        <f t="shared" si="258"/>
        <v>158.59907037077073</v>
      </c>
      <c r="AG166" s="547">
        <f t="shared" si="259"/>
        <v>0.1235820610687023</v>
      </c>
      <c r="AI166" s="180">
        <f t="shared" si="260"/>
        <v>0.19521549863955709</v>
      </c>
      <c r="AJ166" s="180">
        <f t="shared" si="261"/>
        <v>0.28999999999999998</v>
      </c>
      <c r="AK166" s="180">
        <f t="shared" si="262"/>
        <v>1.0906280402118691</v>
      </c>
      <c r="AM166" s="564">
        <f t="shared" si="263"/>
        <v>56.000000000000007</v>
      </c>
      <c r="AN166" s="473">
        <f t="shared" si="264"/>
        <v>158.59907037077073</v>
      </c>
      <c r="AP166">
        <f t="shared" si="265"/>
        <v>56.000000000000007</v>
      </c>
      <c r="AQ166">
        <f t="shared" si="266"/>
        <v>158.59907037077073</v>
      </c>
      <c r="AS166" s="5">
        <f t="shared" si="237"/>
        <v>6.3052071973827699</v>
      </c>
      <c r="AT166" s="5">
        <f t="shared" si="267"/>
        <v>1.5949999999999998</v>
      </c>
      <c r="AU166" s="5">
        <f t="shared" si="210"/>
        <v>4.7102071973827702</v>
      </c>
      <c r="AV166" s="5"/>
      <c r="AW166" s="180">
        <f t="shared" si="211"/>
        <v>0.25296551724137928</v>
      </c>
      <c r="AX166" s="180">
        <f t="shared" si="233"/>
        <v>0.36680000000000001</v>
      </c>
      <c r="AY166" s="180">
        <f t="shared" si="234"/>
        <v>0.21664</v>
      </c>
      <c r="AZ166" s="180">
        <f t="shared" si="238"/>
        <v>1.6931314623338258</v>
      </c>
      <c r="BD166" s="180">
        <f t="shared" si="239"/>
        <v>8.4210846490619398E-2</v>
      </c>
      <c r="BE166" s="180">
        <f t="shared" si="235"/>
        <v>0.28942609880013703</v>
      </c>
      <c r="BG166" s="547">
        <f t="shared" si="212"/>
        <v>2.4820133333333327E-3</v>
      </c>
      <c r="BH166" s="547">
        <f t="shared" si="213"/>
        <v>1.0624551724137931E-2</v>
      </c>
      <c r="BI166" s="547">
        <f t="shared" si="214"/>
        <v>1.9824883796346338E-3</v>
      </c>
      <c r="BJ166" s="547">
        <f t="shared" si="215"/>
        <v>4.8662278715814501E-3</v>
      </c>
      <c r="BK166">
        <f t="shared" si="216"/>
        <v>2.8999999999999998E-3</v>
      </c>
      <c r="BL166" s="473">
        <f t="shared" si="217"/>
        <v>22.855281308687349</v>
      </c>
      <c r="BM166" s="547">
        <f t="shared" si="218"/>
        <v>1.9600000000000003E-2</v>
      </c>
      <c r="BP166" s="473">
        <f t="shared" si="219"/>
        <v>19.600000000000001</v>
      </c>
      <c r="BQ166" s="547">
        <f t="shared" si="220"/>
        <v>7.8006133333333324E-4</v>
      </c>
      <c r="BR166" s="547">
        <f t="shared" si="221"/>
        <v>2.931861333333334E-3</v>
      </c>
      <c r="BS166" s="547">
        <f t="shared" si="222"/>
        <v>7.173260331487329E-4</v>
      </c>
      <c r="BT166" s="547">
        <f t="shared" si="223"/>
        <v>1.333818181818182E-2</v>
      </c>
      <c r="BU166" s="473">
        <f t="shared" si="224"/>
        <v>17.767430517997223</v>
      </c>
      <c r="BV166" s="180">
        <f t="shared" si="225"/>
        <v>6.0222711826684566E-2</v>
      </c>
      <c r="BW166" s="5">
        <f t="shared" si="226"/>
        <v>0.35280000000000006</v>
      </c>
      <c r="BX166" s="180">
        <f t="shared" si="227"/>
        <v>0.85419031423154379</v>
      </c>
      <c r="BY166" s="5">
        <f t="shared" si="228"/>
        <v>85.419031423154379</v>
      </c>
      <c r="CB166" s="582">
        <f t="shared" si="268"/>
        <v>-50</v>
      </c>
      <c r="CC166">
        <f t="shared" si="269"/>
        <v>-50</v>
      </c>
    </row>
    <row r="167" spans="5:81" x14ac:dyDescent="0.25">
      <c r="E167" s="177">
        <v>57</v>
      </c>
      <c r="F167" s="224">
        <f t="shared" si="270"/>
        <v>5.6999999999999995E-2</v>
      </c>
      <c r="G167" s="224"/>
      <c r="H167" s="224">
        <f t="shared" si="240"/>
        <v>0.35909999999999997</v>
      </c>
      <c r="I167" s="560">
        <f t="shared" si="241"/>
        <v>10</v>
      </c>
      <c r="J167" s="455">
        <f t="shared" si="242"/>
        <v>13.1</v>
      </c>
      <c r="K167" s="455">
        <f t="shared" si="243"/>
        <v>23.1</v>
      </c>
      <c r="L167" s="455"/>
      <c r="M167" s="224">
        <f t="shared" si="244"/>
        <v>0.5670995670995671</v>
      </c>
      <c r="N167" s="179">
        <f t="shared" si="245"/>
        <v>3.7003246753246755</v>
      </c>
      <c r="O167" s="179">
        <f t="shared" si="236"/>
        <v>0.35909999999999997</v>
      </c>
      <c r="P167" s="224">
        <f t="shared" si="246"/>
        <v>0.58735312306740883</v>
      </c>
      <c r="Q167" s="224">
        <f t="shared" si="247"/>
        <v>6.3</v>
      </c>
      <c r="R167" s="224"/>
      <c r="S167" s="179">
        <f t="shared" si="248"/>
        <v>109.48507528121907</v>
      </c>
      <c r="T167" s="179">
        <f t="shared" si="249"/>
        <v>6.3</v>
      </c>
      <c r="U167" s="224">
        <f t="shared" si="250"/>
        <v>0.14071603053435114</v>
      </c>
      <c r="V167" s="224">
        <f t="shared" si="251"/>
        <v>0.77393816793893133</v>
      </c>
      <c r="W167" s="224">
        <f t="shared" si="252"/>
        <v>0.59079249460987127</v>
      </c>
      <c r="X167" s="204">
        <f t="shared" si="253"/>
        <v>350</v>
      </c>
      <c r="Y167" s="455">
        <f t="shared" si="195"/>
        <v>350</v>
      </c>
      <c r="AA167" s="224">
        <f t="shared" si="254"/>
        <v>0.29459717771406085</v>
      </c>
      <c r="AB167" s="180">
        <f t="shared" si="255"/>
        <v>1.2368583797155226</v>
      </c>
      <c r="AC167" s="180">
        <f t="shared" si="256"/>
        <v>0.1275312457636627</v>
      </c>
      <c r="AD167" s="180"/>
      <c r="AE167" s="180">
        <f t="shared" si="257"/>
        <v>1.217557251908397</v>
      </c>
      <c r="AF167" s="564">
        <f t="shared" si="258"/>
        <v>161.43119662739159</v>
      </c>
      <c r="AG167" s="547">
        <f t="shared" si="259"/>
        <v>0.1235820610687023</v>
      </c>
      <c r="AI167" s="180">
        <f t="shared" si="260"/>
        <v>0.1969507816425474</v>
      </c>
      <c r="AJ167" s="180">
        <f t="shared" si="261"/>
        <v>0.28999999999999998</v>
      </c>
      <c r="AK167" s="180">
        <f t="shared" si="262"/>
        <v>1.0922463980727952</v>
      </c>
      <c r="AM167" s="564">
        <f t="shared" si="263"/>
        <v>56.999999999999993</v>
      </c>
      <c r="AN167" s="473">
        <f t="shared" si="264"/>
        <v>161.43119662739159</v>
      </c>
      <c r="AP167">
        <f t="shared" si="265"/>
        <v>56.999999999999993</v>
      </c>
      <c r="AQ167">
        <f t="shared" si="266"/>
        <v>161.43119662739159</v>
      </c>
      <c r="AS167" s="5">
        <f t="shared" si="237"/>
        <v>6.1945895272532496</v>
      </c>
      <c r="AT167" s="5">
        <f t="shared" si="267"/>
        <v>1.5949999999999998</v>
      </c>
      <c r="AU167" s="5">
        <f t="shared" si="210"/>
        <v>4.5995895272532499</v>
      </c>
      <c r="AV167" s="5"/>
      <c r="AW167" s="180">
        <f t="shared" si="211"/>
        <v>0.25748275862068953</v>
      </c>
      <c r="AX167" s="180">
        <f t="shared" si="233"/>
        <v>0.3733499999999999</v>
      </c>
      <c r="AY167" s="180">
        <f t="shared" si="234"/>
        <v>0.21532999999999999</v>
      </c>
      <c r="AZ167" s="180">
        <f t="shared" si="238"/>
        <v>1.7338503692007612</v>
      </c>
      <c r="BD167" s="180">
        <f t="shared" si="239"/>
        <v>8.4959402069459011E-2</v>
      </c>
      <c r="BE167" s="180">
        <f t="shared" si="235"/>
        <v>0.28854970686752279</v>
      </c>
      <c r="BG167" s="547">
        <f t="shared" si="212"/>
        <v>2.5263349999999985E-3</v>
      </c>
      <c r="BH167" s="547">
        <f t="shared" si="213"/>
        <v>1.0814275862068963E-2</v>
      </c>
      <c r="BI167" s="547">
        <f t="shared" si="214"/>
        <v>2.0178899578423945E-3</v>
      </c>
      <c r="BJ167" s="547">
        <f t="shared" si="215"/>
        <v>4.9531247978596895E-3</v>
      </c>
      <c r="BK167">
        <f t="shared" si="216"/>
        <v>2.8999999999999998E-3</v>
      </c>
      <c r="BL167" s="473">
        <f t="shared" si="217"/>
        <v>23.211625617771041</v>
      </c>
      <c r="BM167" s="547">
        <f t="shared" si="218"/>
        <v>1.9949999999999996E-2</v>
      </c>
      <c r="BP167" s="473">
        <f t="shared" si="219"/>
        <v>19.949999999999996</v>
      </c>
      <c r="BQ167" s="547">
        <f t="shared" si="220"/>
        <v>7.9399099999999964E-4</v>
      </c>
      <c r="BR167" s="547">
        <f t="shared" si="221"/>
        <v>2.9141326666666666E-3</v>
      </c>
      <c r="BS167" s="547">
        <f t="shared" si="222"/>
        <v>7.4977967632501369E-4</v>
      </c>
      <c r="BT167" s="547">
        <f t="shared" si="223"/>
        <v>1.3576363636363633E-2</v>
      </c>
      <c r="BU167" s="473">
        <f t="shared" si="224"/>
        <v>18.034266979355312</v>
      </c>
      <c r="BV167" s="180">
        <f t="shared" si="225"/>
        <v>6.119589259712635E-2</v>
      </c>
      <c r="BW167" s="5">
        <f t="shared" si="226"/>
        <v>0.35909999999999997</v>
      </c>
      <c r="BX167" s="180">
        <f t="shared" si="227"/>
        <v>0.85439807127550138</v>
      </c>
      <c r="BY167" s="5">
        <f t="shared" si="228"/>
        <v>85.439807127550139</v>
      </c>
      <c r="CB167" s="582">
        <f t="shared" si="268"/>
        <v>-50</v>
      </c>
      <c r="CC167">
        <f t="shared" si="269"/>
        <v>-50</v>
      </c>
    </row>
    <row r="168" spans="5:81" x14ac:dyDescent="0.25">
      <c r="E168" s="177">
        <v>58</v>
      </c>
      <c r="F168" s="224">
        <f t="shared" si="270"/>
        <v>5.7999999999999996E-2</v>
      </c>
      <c r="G168" s="224"/>
      <c r="H168" s="224">
        <f t="shared" si="240"/>
        <v>0.36539999999999995</v>
      </c>
      <c r="I168" s="560">
        <f t="shared" si="241"/>
        <v>10</v>
      </c>
      <c r="J168" s="455">
        <f t="shared" si="242"/>
        <v>13.1</v>
      </c>
      <c r="K168" s="455">
        <f t="shared" si="243"/>
        <v>23.1</v>
      </c>
      <c r="L168" s="455"/>
      <c r="M168" s="224">
        <f t="shared" si="244"/>
        <v>0.5670995670995671</v>
      </c>
      <c r="N168" s="179">
        <f t="shared" si="245"/>
        <v>3.7003246753246755</v>
      </c>
      <c r="O168" s="179">
        <f t="shared" si="236"/>
        <v>0.36539999999999995</v>
      </c>
      <c r="P168" s="224">
        <f t="shared" si="246"/>
        <v>0.58735312306740883</v>
      </c>
      <c r="Q168" s="224">
        <f t="shared" si="247"/>
        <v>6.3</v>
      </c>
      <c r="R168" s="224"/>
      <c r="S168" s="179">
        <f t="shared" si="248"/>
        <v>107.51159967932659</v>
      </c>
      <c r="T168" s="179">
        <f t="shared" si="249"/>
        <v>6.3</v>
      </c>
      <c r="U168" s="224">
        <f t="shared" si="250"/>
        <v>0.14318473282442745</v>
      </c>
      <c r="V168" s="224">
        <f t="shared" si="251"/>
        <v>0.78751603053435093</v>
      </c>
      <c r="W168" s="224">
        <f t="shared" si="252"/>
        <v>0.60115727521706186</v>
      </c>
      <c r="X168" s="204">
        <f t="shared" si="253"/>
        <v>350</v>
      </c>
      <c r="Y168" s="455">
        <f t="shared" si="195"/>
        <v>350</v>
      </c>
      <c r="AA168" s="224">
        <f t="shared" si="254"/>
        <v>0.29459717771406085</v>
      </c>
      <c r="AB168" s="180">
        <f t="shared" si="255"/>
        <v>1.2368583797155226</v>
      </c>
      <c r="AC168" s="180">
        <f t="shared" si="256"/>
        <v>0.1275312457636627</v>
      </c>
      <c r="AD168" s="180"/>
      <c r="AE168" s="180">
        <f t="shared" si="257"/>
        <v>1.217557251908397</v>
      </c>
      <c r="AF168" s="564">
        <f t="shared" si="258"/>
        <v>164.2633228840125</v>
      </c>
      <c r="AG168" s="547">
        <f t="shared" si="259"/>
        <v>0.1235820610687023</v>
      </c>
      <c r="AI168" s="180">
        <f t="shared" si="260"/>
        <v>0.19867090846455066</v>
      </c>
      <c r="AJ168" s="180">
        <f t="shared" si="261"/>
        <v>0.28999999999999998</v>
      </c>
      <c r="AK168" s="180">
        <f t="shared" si="262"/>
        <v>1.0938647559337213</v>
      </c>
      <c r="AM168" s="564">
        <f t="shared" si="263"/>
        <v>57.999999999999993</v>
      </c>
      <c r="AN168" s="473">
        <f t="shared" si="264"/>
        <v>164.2633228840125</v>
      </c>
      <c r="AP168">
        <f t="shared" si="265"/>
        <v>57.999999999999993</v>
      </c>
      <c r="AQ168">
        <f t="shared" si="266"/>
        <v>164.2633228840125</v>
      </c>
      <c r="AS168" s="5">
        <f t="shared" si="237"/>
        <v>6.0877862595419865</v>
      </c>
      <c r="AT168" s="5">
        <f t="shared" si="267"/>
        <v>1.5949999999999998</v>
      </c>
      <c r="AU168" s="5">
        <f t="shared" si="210"/>
        <v>4.4927862595419867</v>
      </c>
      <c r="AV168" s="5"/>
      <c r="AW168" s="180">
        <f t="shared" si="211"/>
        <v>0.2619999999999999</v>
      </c>
      <c r="AX168" s="180">
        <f t="shared" si="233"/>
        <v>0.3798999999999999</v>
      </c>
      <c r="AY168" s="180">
        <f t="shared" si="234"/>
        <v>0.21402000000000002</v>
      </c>
      <c r="AZ168" s="180">
        <f t="shared" si="238"/>
        <v>1.7750677506775061</v>
      </c>
      <c r="BD168" s="180">
        <f t="shared" si="239"/>
        <v>8.5701419669299117E-2</v>
      </c>
      <c r="BE168" s="180">
        <f t="shared" si="235"/>
        <v>0.2876706450091841</v>
      </c>
      <c r="BG168" s="547">
        <f t="shared" si="212"/>
        <v>2.5706566666666652E-3</v>
      </c>
      <c r="BH168" s="547">
        <f t="shared" si="213"/>
        <v>1.1003999999999996E-2</v>
      </c>
      <c r="BI168" s="547">
        <f t="shared" si="214"/>
        <v>2.0532915360501561E-3</v>
      </c>
      <c r="BJ168" s="547">
        <f t="shared" si="215"/>
        <v>5.0400217241379297E-3</v>
      </c>
      <c r="BK168">
        <f t="shared" si="216"/>
        <v>2.8999999999999998E-3</v>
      </c>
      <c r="BL168" s="473">
        <f t="shared" si="217"/>
        <v>23.567969926854747</v>
      </c>
      <c r="BM168" s="547">
        <f t="shared" si="218"/>
        <v>2.0299999999999999E-2</v>
      </c>
      <c r="BP168" s="473">
        <f t="shared" si="219"/>
        <v>20.299999999999997</v>
      </c>
      <c r="BQ168" s="547">
        <f t="shared" si="220"/>
        <v>8.0792066666666626E-4</v>
      </c>
      <c r="BR168" s="547">
        <f t="shared" si="221"/>
        <v>2.8964040000000009E-3</v>
      </c>
      <c r="BS168" s="547">
        <f t="shared" si="222"/>
        <v>7.8309871062361906E-4</v>
      </c>
      <c r="BT168" s="547">
        <f t="shared" si="223"/>
        <v>1.3814545454545451E-2</v>
      </c>
      <c r="BU168" s="473">
        <f t="shared" si="224"/>
        <v>18.301968831835737</v>
      </c>
      <c r="BV168" s="180">
        <f t="shared" si="225"/>
        <v>6.2169938758690479E-2</v>
      </c>
      <c r="BW168" s="5">
        <f t="shared" si="226"/>
        <v>0.36539999999999995</v>
      </c>
      <c r="BX168" s="180">
        <f t="shared" si="227"/>
        <v>0.8545970305134627</v>
      </c>
      <c r="BY168" s="5">
        <f t="shared" si="228"/>
        <v>85.459703051346267</v>
      </c>
      <c r="CB168" s="582">
        <f t="shared" si="268"/>
        <v>-50</v>
      </c>
      <c r="CC168">
        <f t="shared" si="269"/>
        <v>-50</v>
      </c>
    </row>
    <row r="169" spans="5:81" x14ac:dyDescent="0.25">
      <c r="E169" s="177">
        <v>59</v>
      </c>
      <c r="F169" s="224">
        <f t="shared" si="270"/>
        <v>5.8999999999999997E-2</v>
      </c>
      <c r="G169" s="224"/>
      <c r="H169" s="224">
        <f t="shared" si="240"/>
        <v>0.37169999999999997</v>
      </c>
      <c r="I169" s="560">
        <f t="shared" si="241"/>
        <v>10</v>
      </c>
      <c r="J169" s="455">
        <f t="shared" si="242"/>
        <v>13.1</v>
      </c>
      <c r="K169" s="455">
        <f t="shared" si="243"/>
        <v>23.1</v>
      </c>
      <c r="L169" s="455"/>
      <c r="M169" s="224">
        <f t="shared" si="244"/>
        <v>0.5670995670995671</v>
      </c>
      <c r="N169" s="179">
        <f t="shared" si="245"/>
        <v>3.7003246753246755</v>
      </c>
      <c r="O169" s="179">
        <f t="shared" si="236"/>
        <v>0.37169999999999997</v>
      </c>
      <c r="P169" s="224">
        <f t="shared" si="246"/>
        <v>0.58735312306740883</v>
      </c>
      <c r="Q169" s="224">
        <f t="shared" si="247"/>
        <v>6.3</v>
      </c>
      <c r="R169" s="224"/>
      <c r="S169" s="179">
        <f t="shared" si="248"/>
        <v>105.60502894186661</v>
      </c>
      <c r="T169" s="179">
        <f t="shared" si="249"/>
        <v>6.3</v>
      </c>
      <c r="U169" s="224">
        <f t="shared" si="250"/>
        <v>0.14565343511450379</v>
      </c>
      <c r="V169" s="224">
        <f t="shared" si="251"/>
        <v>0.80109389312977075</v>
      </c>
      <c r="W169" s="224">
        <f t="shared" si="252"/>
        <v>0.61152205582425256</v>
      </c>
      <c r="X169" s="204">
        <f t="shared" si="253"/>
        <v>350</v>
      </c>
      <c r="Y169" s="455">
        <f t="shared" si="195"/>
        <v>350</v>
      </c>
      <c r="AA169" s="224">
        <f t="shared" si="254"/>
        <v>0.29459717771406085</v>
      </c>
      <c r="AB169" s="180">
        <f t="shared" si="255"/>
        <v>1.2368583797155226</v>
      </c>
      <c r="AC169" s="180">
        <f t="shared" si="256"/>
        <v>0.1275312457636627</v>
      </c>
      <c r="AD169" s="180"/>
      <c r="AE169" s="180">
        <f t="shared" si="257"/>
        <v>1.217557251908397</v>
      </c>
      <c r="AF169" s="564">
        <f t="shared" si="258"/>
        <v>167.09544914063341</v>
      </c>
      <c r="AG169" s="547">
        <f t="shared" si="259"/>
        <v>0.1235820610687023</v>
      </c>
      <c r="AI169" s="180">
        <f t="shared" si="260"/>
        <v>0.20037626942991366</v>
      </c>
      <c r="AJ169" s="180">
        <f t="shared" si="261"/>
        <v>0.28999999999999998</v>
      </c>
      <c r="AK169" s="180">
        <f t="shared" si="262"/>
        <v>1.0954831137946477</v>
      </c>
      <c r="AM169" s="564">
        <f t="shared" si="263"/>
        <v>59</v>
      </c>
      <c r="AN169" s="473">
        <f t="shared" si="264"/>
        <v>167.09544914063341</v>
      </c>
      <c r="AP169">
        <f t="shared" si="265"/>
        <v>59</v>
      </c>
      <c r="AQ169">
        <f t="shared" si="266"/>
        <v>167.09544914063341</v>
      </c>
      <c r="AS169" s="5">
        <f t="shared" si="237"/>
        <v>5.9846034415836469</v>
      </c>
      <c r="AT169" s="5">
        <f t="shared" si="267"/>
        <v>1.5949999999999998</v>
      </c>
      <c r="AU169" s="5">
        <f t="shared" si="210"/>
        <v>4.3896034415836471</v>
      </c>
      <c r="AV169" s="5"/>
      <c r="AW169" s="180">
        <f t="shared" si="211"/>
        <v>0.26651724137931027</v>
      </c>
      <c r="AX169" s="180">
        <f t="shared" si="233"/>
        <v>0.38644999999999996</v>
      </c>
      <c r="AY169" s="180">
        <f t="shared" si="234"/>
        <v>0.21271000000000004</v>
      </c>
      <c r="AZ169" s="180">
        <f t="shared" si="238"/>
        <v>1.8167928165107419</v>
      </c>
      <c r="BD169" s="180">
        <f t="shared" si="239"/>
        <v>8.643706766582647E-2</v>
      </c>
      <c r="BE169" s="180">
        <f t="shared" si="235"/>
        <v>0.28678888867364905</v>
      </c>
      <c r="BG169" s="547">
        <f t="shared" si="212"/>
        <v>2.6149783333333323E-3</v>
      </c>
      <c r="BH169" s="547">
        <f t="shared" si="213"/>
        <v>1.1193724137931032E-2</v>
      </c>
      <c r="BI169" s="547">
        <f t="shared" si="214"/>
        <v>2.0886931142579173E-3</v>
      </c>
      <c r="BJ169" s="547">
        <f t="shared" si="215"/>
        <v>5.12691865041617E-3</v>
      </c>
      <c r="BK169">
        <f t="shared" si="216"/>
        <v>2.8999999999999998E-3</v>
      </c>
      <c r="BL169" s="473">
        <f t="shared" si="217"/>
        <v>23.92431423593845</v>
      </c>
      <c r="BM169" s="547">
        <f t="shared" si="218"/>
        <v>2.0649999999999998E-2</v>
      </c>
      <c r="BP169" s="473">
        <f t="shared" si="219"/>
        <v>20.65</v>
      </c>
      <c r="BQ169" s="547">
        <f t="shared" si="220"/>
        <v>8.21850333333333E-4</v>
      </c>
      <c r="BR169" s="547">
        <f t="shared" si="221"/>
        <v>2.8786753333333338E-3</v>
      </c>
      <c r="BS169" s="547">
        <f t="shared" si="222"/>
        <v>8.1729069438048825E-4</v>
      </c>
      <c r="BT169" s="547">
        <f t="shared" si="223"/>
        <v>1.4052727272727271E-2</v>
      </c>
      <c r="BU169" s="473">
        <f t="shared" si="224"/>
        <v>18.570543633774424</v>
      </c>
      <c r="BV169" s="180">
        <f t="shared" si="225"/>
        <v>6.314485786971287E-2</v>
      </c>
      <c r="BW169" s="5">
        <f t="shared" si="226"/>
        <v>0.37169999999999997</v>
      </c>
      <c r="BX169" s="180">
        <f t="shared" si="227"/>
        <v>0.85478761740668396</v>
      </c>
      <c r="BY169" s="5">
        <f t="shared" si="228"/>
        <v>85.478761740668403</v>
      </c>
      <c r="CB169" s="582">
        <f t="shared" si="268"/>
        <v>-50</v>
      </c>
      <c r="CC169">
        <f t="shared" si="269"/>
        <v>-50</v>
      </c>
    </row>
    <row r="170" spans="5:81" x14ac:dyDescent="0.25">
      <c r="E170" s="177">
        <v>60</v>
      </c>
      <c r="F170" s="224">
        <f t="shared" si="270"/>
        <v>0.06</v>
      </c>
      <c r="G170" s="224"/>
      <c r="H170" s="224">
        <f t="shared" si="240"/>
        <v>0.378</v>
      </c>
      <c r="I170" s="560">
        <f t="shared" si="241"/>
        <v>10</v>
      </c>
      <c r="J170" s="455">
        <f t="shared" si="242"/>
        <v>13.1</v>
      </c>
      <c r="K170" s="455">
        <f t="shared" si="243"/>
        <v>23.1</v>
      </c>
      <c r="L170" s="455"/>
      <c r="M170" s="224">
        <f t="shared" si="244"/>
        <v>0.5670995670995671</v>
      </c>
      <c r="N170" s="179">
        <f t="shared" si="245"/>
        <v>3.7003246753246755</v>
      </c>
      <c r="O170" s="179">
        <f t="shared" si="236"/>
        <v>0.378</v>
      </c>
      <c r="P170" s="224">
        <f t="shared" si="246"/>
        <v>0.58735312306740883</v>
      </c>
      <c r="Q170" s="224">
        <f t="shared" si="247"/>
        <v>6.3</v>
      </c>
      <c r="R170" s="224"/>
      <c r="S170" s="179">
        <f t="shared" si="248"/>
        <v>103.76201784203339</v>
      </c>
      <c r="T170" s="179">
        <f t="shared" si="249"/>
        <v>6.3</v>
      </c>
      <c r="U170" s="224">
        <f t="shared" si="250"/>
        <v>0.14812213740458016</v>
      </c>
      <c r="V170" s="224">
        <f t="shared" si="251"/>
        <v>0.81467175572519102</v>
      </c>
      <c r="W170" s="224">
        <f t="shared" si="252"/>
        <v>0.62188683643144349</v>
      </c>
      <c r="X170" s="204">
        <f t="shared" si="253"/>
        <v>350</v>
      </c>
      <c r="Y170" s="455">
        <f t="shared" ref="Y170:Y210" si="271">MIN(1/(V170+W170)*1000, 350)</f>
        <v>350</v>
      </c>
      <c r="AA170" s="224">
        <f t="shared" si="254"/>
        <v>0.29459717771406085</v>
      </c>
      <c r="AB170" s="180">
        <f t="shared" si="255"/>
        <v>1.2368583797155226</v>
      </c>
      <c r="AC170" s="180">
        <f t="shared" si="256"/>
        <v>0.1275312457636627</v>
      </c>
      <c r="AD170" s="180"/>
      <c r="AE170" s="180">
        <f t="shared" si="257"/>
        <v>1.217557251908397</v>
      </c>
      <c r="AF170" s="564">
        <f t="shared" si="258"/>
        <v>169.92757539725432</v>
      </c>
      <c r="AG170" s="547">
        <f t="shared" si="259"/>
        <v>0.1235820610687023</v>
      </c>
      <c r="AI170" s="180">
        <f t="shared" si="260"/>
        <v>0.20206723839150378</v>
      </c>
      <c r="AJ170" s="180">
        <f t="shared" si="261"/>
        <v>0.28999999999999998</v>
      </c>
      <c r="AK170" s="180">
        <f t="shared" si="262"/>
        <v>1.0971014716555738</v>
      </c>
      <c r="AM170" s="564">
        <f t="shared" si="263"/>
        <v>60</v>
      </c>
      <c r="AN170" s="473">
        <f t="shared" si="264"/>
        <v>169.92757539725432</v>
      </c>
      <c r="AP170">
        <f t="shared" si="265"/>
        <v>60</v>
      </c>
      <c r="AQ170">
        <f t="shared" si="266"/>
        <v>169.92757539725432</v>
      </c>
      <c r="AS170" s="5">
        <f t="shared" si="237"/>
        <v>5.8848600508905866</v>
      </c>
      <c r="AT170" s="5">
        <f t="shared" si="267"/>
        <v>1.5949999999999998</v>
      </c>
      <c r="AU170" s="5">
        <f t="shared" ref="AU170:AU233" si="272">AS170-AT170</f>
        <v>4.2898600508905869</v>
      </c>
      <c r="AV170" s="5"/>
      <c r="AW170" s="180">
        <f t="shared" ref="AW170:AW233" si="273">AT170/AS170</f>
        <v>0.27103448275862058</v>
      </c>
      <c r="AX170" s="180">
        <f t="shared" si="233"/>
        <v>0.3929999999999999</v>
      </c>
      <c r="AY170" s="180">
        <f t="shared" si="234"/>
        <v>0.2114</v>
      </c>
      <c r="AZ170" s="180">
        <f t="shared" si="238"/>
        <v>1.8590350047303685</v>
      </c>
      <c r="BD170" s="180">
        <f t="shared" si="239"/>
        <v>8.7166507329363582E-2</v>
      </c>
      <c r="BE170" s="180">
        <f t="shared" si="235"/>
        <v>0.28590441293084884</v>
      </c>
      <c r="BG170" s="547">
        <f t="shared" ref="BG170:BG210" si="274">Rdson*BD170^2</f>
        <v>2.6592999999999981E-3</v>
      </c>
      <c r="BH170" s="547">
        <f t="shared" ref="BH170:BH210" si="275">0.5*K170*AJ170*AN170*1000*Trise</f>
        <v>1.1383448275862068E-2</v>
      </c>
      <c r="BI170" s="547">
        <f t="shared" ref="BI170:BI210" si="276">Qg*Vdd*AN170*1000</f>
        <v>2.1240946924656785E-3</v>
      </c>
      <c r="BJ170" s="547">
        <f t="shared" ref="BJ170:BJ210" si="277">0.5*(Coss+Csw)*K170^2*AN170*1000</f>
        <v>5.2138155766944102E-3</v>
      </c>
      <c r="BK170">
        <f t="shared" ref="BK170:BK210" si="278">I170*IQ</f>
        <v>2.8999999999999998E-3</v>
      </c>
      <c r="BL170" s="473">
        <f t="shared" ref="BL170:BL210" si="279">SUM(BG170:BK170)*1000</f>
        <v>24.280658545022156</v>
      </c>
      <c r="BM170" s="547">
        <f t="shared" ref="BM170:BM210" si="280">Vfwd2*F170</f>
        <v>2.0999999999999998E-2</v>
      </c>
      <c r="BP170" s="473">
        <f t="shared" ref="BP170:BP210" si="281">SUM(BM170:BO170)*1000</f>
        <v>20.999999999999996</v>
      </c>
      <c r="BQ170" s="547">
        <f t="shared" ref="BQ170:BQ210" si="282">Rdcr_pri*BD170^2</f>
        <v>8.3577999999999951E-4</v>
      </c>
      <c r="BR170" s="547">
        <f t="shared" ref="BR170:BR210" si="283">Rdcr_sec*BE170^2</f>
        <v>2.8609466666666664E-3</v>
      </c>
      <c r="BS170" s="547">
        <f t="shared" ref="BS170:BS210" si="284">AJ170^2.5*AN170^2.5*k_core</f>
        <v>8.5236312104473974E-4</v>
      </c>
      <c r="BT170" s="547">
        <f t="shared" ref="BT170:BT210" si="285">0.5*Lleak*0.000000001*AJ170^2*AN170*1000</f>
        <v>1.4290909090909088E-2</v>
      </c>
      <c r="BU170" s="473">
        <f t="shared" ref="BU170:BU210" si="286">SUM(BQ170:BT170)*1000</f>
        <v>18.839998878620491</v>
      </c>
      <c r="BV170" s="180">
        <f t="shared" ref="BV170:BV210" si="287">SUM(BG170:BK170,BM170:BO170,BQ170:BT170)</f>
        <v>6.4120657423642646E-2</v>
      </c>
      <c r="BW170" s="5">
        <f t="shared" ref="BW170:BW210" si="288">MIN(H170,O170)</f>
        <v>0.378</v>
      </c>
      <c r="BX170" s="180">
        <f t="shared" ref="BX170:BX210" si="289">BW170/(BW170+BV170)</f>
        <v>0.85497022962624913</v>
      </c>
      <c r="BY170" s="5">
        <f t="shared" ref="BY170:BY210" si="290">BX170*100</f>
        <v>85.497022962624911</v>
      </c>
      <c r="CB170" s="582">
        <f t="shared" si="268"/>
        <v>-50</v>
      </c>
      <c r="CC170">
        <f t="shared" si="269"/>
        <v>-50</v>
      </c>
    </row>
    <row r="171" spans="5:81" x14ac:dyDescent="0.25">
      <c r="E171" s="177">
        <v>61</v>
      </c>
      <c r="F171" s="224">
        <f t="shared" si="270"/>
        <v>6.0999999999999999E-2</v>
      </c>
      <c r="G171" s="224"/>
      <c r="H171" s="224">
        <f t="shared" si="240"/>
        <v>0.38429999999999997</v>
      </c>
      <c r="I171" s="560">
        <f t="shared" si="241"/>
        <v>10</v>
      </c>
      <c r="J171" s="455">
        <f t="shared" si="242"/>
        <v>13.1</v>
      </c>
      <c r="K171" s="455">
        <f t="shared" si="243"/>
        <v>23.1</v>
      </c>
      <c r="L171" s="455"/>
      <c r="M171" s="224">
        <f t="shared" si="244"/>
        <v>0.5670995670995671</v>
      </c>
      <c r="N171" s="179">
        <f t="shared" si="245"/>
        <v>3.7003246753246755</v>
      </c>
      <c r="O171" s="179">
        <f t="shared" si="236"/>
        <v>0.38429999999999997</v>
      </c>
      <c r="P171" s="224">
        <f t="shared" si="246"/>
        <v>0.58735312306740883</v>
      </c>
      <c r="Q171" s="224">
        <f t="shared" si="247"/>
        <v>6.3</v>
      </c>
      <c r="R171" s="224"/>
      <c r="S171" s="179">
        <f t="shared" si="248"/>
        <v>101.97944051220182</v>
      </c>
      <c r="T171" s="179">
        <f t="shared" si="249"/>
        <v>6.3</v>
      </c>
      <c r="U171" s="224">
        <f t="shared" si="250"/>
        <v>0.15059083969465648</v>
      </c>
      <c r="V171" s="224">
        <f t="shared" si="251"/>
        <v>0.82824961832061061</v>
      </c>
      <c r="W171" s="224">
        <f t="shared" si="252"/>
        <v>0.63225161703863397</v>
      </c>
      <c r="X171" s="204">
        <f t="shared" si="253"/>
        <v>350</v>
      </c>
      <c r="Y171" s="455">
        <f t="shared" si="271"/>
        <v>350</v>
      </c>
      <c r="AA171" s="224">
        <f t="shared" si="254"/>
        <v>0.29459717771406085</v>
      </c>
      <c r="AB171" s="180">
        <f t="shared" si="255"/>
        <v>1.2368583797155226</v>
      </c>
      <c r="AC171" s="180">
        <f t="shared" si="256"/>
        <v>0.1275312457636627</v>
      </c>
      <c r="AD171" s="180"/>
      <c r="AE171" s="180">
        <f t="shared" si="257"/>
        <v>1.217557251908397</v>
      </c>
      <c r="AF171" s="564">
        <f t="shared" si="258"/>
        <v>172.75970165387523</v>
      </c>
      <c r="AG171" s="547">
        <f t="shared" si="259"/>
        <v>0.1235820610687023</v>
      </c>
      <c r="AI171" s="180">
        <f t="shared" si="260"/>
        <v>0.20374417368771139</v>
      </c>
      <c r="AJ171" s="180">
        <f t="shared" si="261"/>
        <v>0.28999999999999998</v>
      </c>
      <c r="AK171" s="180">
        <f t="shared" si="262"/>
        <v>1.0987198295165002</v>
      </c>
      <c r="AM171" s="564">
        <f t="shared" si="263"/>
        <v>61</v>
      </c>
      <c r="AN171" s="473">
        <f t="shared" si="264"/>
        <v>172.75970165387523</v>
      </c>
      <c r="AP171">
        <f t="shared" si="265"/>
        <v>61</v>
      </c>
      <c r="AQ171">
        <f t="shared" si="266"/>
        <v>172.75970165387523</v>
      </c>
      <c r="AS171" s="5">
        <f t="shared" si="237"/>
        <v>5.7883869353022162</v>
      </c>
      <c r="AT171" s="5">
        <f t="shared" si="267"/>
        <v>1.5949999999999998</v>
      </c>
      <c r="AU171" s="5">
        <f t="shared" si="272"/>
        <v>4.1933869353022164</v>
      </c>
      <c r="AV171" s="5"/>
      <c r="AW171" s="180">
        <f t="shared" si="273"/>
        <v>0.27555172413793094</v>
      </c>
      <c r="AX171" s="180">
        <f t="shared" si="233"/>
        <v>0.39954999999999991</v>
      </c>
      <c r="AY171" s="180">
        <f t="shared" si="234"/>
        <v>0.21009</v>
      </c>
      <c r="AZ171" s="180">
        <f t="shared" si="238"/>
        <v>1.9018039887667186</v>
      </c>
      <c r="BD171" s="180">
        <f t="shared" si="239"/>
        <v>8.7889893237694458E-2</v>
      </c>
      <c r="BE171" s="180">
        <f t="shared" si="235"/>
        <v>0.28501719246389329</v>
      </c>
      <c r="BG171" s="547">
        <f t="shared" si="274"/>
        <v>2.7036216666666657E-3</v>
      </c>
      <c r="BH171" s="547">
        <f t="shared" si="275"/>
        <v>1.1573172413793102E-2</v>
      </c>
      <c r="BI171" s="547">
        <f t="shared" si="276"/>
        <v>2.1594962706734406E-3</v>
      </c>
      <c r="BJ171" s="547">
        <f t="shared" si="277"/>
        <v>5.3007125029726505E-3</v>
      </c>
      <c r="BK171">
        <f t="shared" si="278"/>
        <v>2.8999999999999998E-3</v>
      </c>
      <c r="BL171" s="473">
        <f t="shared" si="279"/>
        <v>24.637002854105859</v>
      </c>
      <c r="BM171" s="547">
        <f t="shared" si="280"/>
        <v>2.1349999999999997E-2</v>
      </c>
      <c r="BP171" s="473">
        <f t="shared" si="281"/>
        <v>21.349999999999998</v>
      </c>
      <c r="BQ171" s="547">
        <f t="shared" si="282"/>
        <v>8.4970966666666635E-4</v>
      </c>
      <c r="BR171" s="547">
        <f t="shared" si="283"/>
        <v>2.8432179999999998E-3</v>
      </c>
      <c r="BS171" s="547">
        <f t="shared" si="284"/>
        <v>8.8832342082171883E-4</v>
      </c>
      <c r="BT171" s="547">
        <f t="shared" si="285"/>
        <v>1.4529090909090908E-2</v>
      </c>
      <c r="BU171" s="473">
        <f t="shared" si="286"/>
        <v>19.110341996579294</v>
      </c>
      <c r="BV171" s="180">
        <f t="shared" si="287"/>
        <v>6.5097344850685149E-2</v>
      </c>
      <c r="BW171" s="5">
        <f t="shared" si="288"/>
        <v>0.38429999999999997</v>
      </c>
      <c r="BX171" s="180">
        <f t="shared" si="289"/>
        <v>0.85514523929304898</v>
      </c>
      <c r="BY171" s="5">
        <f t="shared" si="290"/>
        <v>85.5145239293049</v>
      </c>
      <c r="CB171" s="582">
        <f t="shared" si="268"/>
        <v>-50</v>
      </c>
      <c r="CC171">
        <f t="shared" si="269"/>
        <v>-50</v>
      </c>
    </row>
    <row r="172" spans="5:81" x14ac:dyDescent="0.25">
      <c r="E172" s="177">
        <v>62</v>
      </c>
      <c r="F172" s="224">
        <f t="shared" si="270"/>
        <v>6.2E-2</v>
      </c>
      <c r="G172" s="224"/>
      <c r="H172" s="224">
        <f t="shared" si="240"/>
        <v>0.3906</v>
      </c>
      <c r="I172" s="560">
        <f t="shared" si="241"/>
        <v>10</v>
      </c>
      <c r="J172" s="455">
        <f t="shared" si="242"/>
        <v>13.1</v>
      </c>
      <c r="K172" s="455">
        <f t="shared" si="243"/>
        <v>23.1</v>
      </c>
      <c r="L172" s="455"/>
      <c r="M172" s="224">
        <f t="shared" si="244"/>
        <v>0.5670995670995671</v>
      </c>
      <c r="N172" s="179">
        <f t="shared" si="245"/>
        <v>3.7003246753246755</v>
      </c>
      <c r="O172" s="179">
        <f t="shared" si="236"/>
        <v>0.3906</v>
      </c>
      <c r="P172" s="224">
        <f t="shared" si="246"/>
        <v>0.58735312306740883</v>
      </c>
      <c r="Q172" s="224">
        <f t="shared" si="247"/>
        <v>6.3</v>
      </c>
      <c r="R172" s="224"/>
      <c r="S172" s="179">
        <f t="shared" si="248"/>
        <v>100.25437275367079</v>
      </c>
      <c r="T172" s="179">
        <f t="shared" si="249"/>
        <v>6.3</v>
      </c>
      <c r="U172" s="224">
        <f t="shared" si="250"/>
        <v>0.15305954198473282</v>
      </c>
      <c r="V172" s="224">
        <f t="shared" si="251"/>
        <v>0.84182748091603066</v>
      </c>
      <c r="W172" s="224">
        <f t="shared" si="252"/>
        <v>0.6426163976458249</v>
      </c>
      <c r="X172" s="204">
        <f t="shared" si="253"/>
        <v>350</v>
      </c>
      <c r="Y172" s="455">
        <f t="shared" si="271"/>
        <v>350</v>
      </c>
      <c r="AA172" s="224">
        <f t="shared" si="254"/>
        <v>0.29459717771406085</v>
      </c>
      <c r="AB172" s="180">
        <f t="shared" si="255"/>
        <v>1.2368583797155226</v>
      </c>
      <c r="AC172" s="180">
        <f t="shared" si="256"/>
        <v>0.1275312457636627</v>
      </c>
      <c r="AD172" s="180"/>
      <c r="AE172" s="180">
        <f t="shared" si="257"/>
        <v>1.217557251908397</v>
      </c>
      <c r="AF172" s="564">
        <f t="shared" si="258"/>
        <v>175.59182791049614</v>
      </c>
      <c r="AG172" s="547">
        <f t="shared" si="259"/>
        <v>0.1235820610687023</v>
      </c>
      <c r="AI172" s="180">
        <f t="shared" si="260"/>
        <v>0.20540741902912804</v>
      </c>
      <c r="AJ172" s="180">
        <f t="shared" si="261"/>
        <v>0.28999999999999998</v>
      </c>
      <c r="AK172" s="180">
        <f t="shared" si="262"/>
        <v>1.1003381873774263</v>
      </c>
      <c r="AM172" s="564">
        <f t="shared" si="263"/>
        <v>62</v>
      </c>
      <c r="AN172" s="473">
        <f t="shared" si="264"/>
        <v>175.59182791049614</v>
      </c>
      <c r="AP172">
        <f t="shared" si="265"/>
        <v>62</v>
      </c>
      <c r="AQ172">
        <f t="shared" si="266"/>
        <v>175.59182791049614</v>
      </c>
      <c r="AS172" s="5">
        <f t="shared" si="237"/>
        <v>5.6950258557005675</v>
      </c>
      <c r="AT172" s="5">
        <f t="shared" si="267"/>
        <v>1.5949999999999998</v>
      </c>
      <c r="AU172" s="5">
        <f t="shared" si="272"/>
        <v>4.1000258557005678</v>
      </c>
      <c r="AV172" s="5"/>
      <c r="AW172" s="180">
        <f t="shared" si="273"/>
        <v>0.28006896551724125</v>
      </c>
      <c r="AX172" s="180">
        <f t="shared" si="233"/>
        <v>0.40609999999999996</v>
      </c>
      <c r="AY172" s="180">
        <f t="shared" si="234"/>
        <v>0.20878000000000002</v>
      </c>
      <c r="AZ172" s="180">
        <f t="shared" si="238"/>
        <v>1.9451096848357119</v>
      </c>
      <c r="BD172" s="180">
        <f t="shared" si="239"/>
        <v>8.8607373658554298E-2</v>
      </c>
      <c r="BE172" s="180">
        <f t="shared" si="235"/>
        <v>0.28412720156061555</v>
      </c>
      <c r="BG172" s="547">
        <f t="shared" si="274"/>
        <v>2.7479433333333315E-3</v>
      </c>
      <c r="BH172" s="547">
        <f t="shared" si="275"/>
        <v>1.1762896551724137E-2</v>
      </c>
      <c r="BI172" s="547">
        <f t="shared" si="276"/>
        <v>2.1948978488812018E-3</v>
      </c>
      <c r="BJ172" s="547">
        <f t="shared" si="277"/>
        <v>5.3876094292508907E-3</v>
      </c>
      <c r="BK172">
        <f t="shared" si="278"/>
        <v>2.8999999999999998E-3</v>
      </c>
      <c r="BL172" s="473">
        <f t="shared" si="279"/>
        <v>24.993347163189561</v>
      </c>
      <c r="BM172" s="547">
        <f t="shared" si="280"/>
        <v>2.1699999999999997E-2</v>
      </c>
      <c r="BP172" s="473">
        <f t="shared" si="281"/>
        <v>21.699999999999996</v>
      </c>
      <c r="BQ172" s="547">
        <f t="shared" si="282"/>
        <v>8.6363933333333286E-4</v>
      </c>
      <c r="BR172" s="547">
        <f t="shared" si="283"/>
        <v>2.8254893333333332E-3</v>
      </c>
      <c r="BS172" s="547">
        <f t="shared" si="284"/>
        <v>9.2517896224784447E-4</v>
      </c>
      <c r="BT172" s="547">
        <f t="shared" si="285"/>
        <v>1.4767272727272726E-2</v>
      </c>
      <c r="BU172" s="473">
        <f t="shared" si="286"/>
        <v>19.381580356187236</v>
      </c>
      <c r="BV172" s="180">
        <f t="shared" si="287"/>
        <v>6.6074927519376797E-2</v>
      </c>
      <c r="BW172" s="5">
        <f t="shared" si="288"/>
        <v>0.3906</v>
      </c>
      <c r="BX172" s="180">
        <f t="shared" si="289"/>
        <v>0.85531299500436619</v>
      </c>
      <c r="BY172" s="5">
        <f t="shared" si="290"/>
        <v>85.531299500436617</v>
      </c>
      <c r="CB172" s="582">
        <f t="shared" si="268"/>
        <v>-50</v>
      </c>
      <c r="CC172">
        <f t="shared" si="269"/>
        <v>-50</v>
      </c>
    </row>
    <row r="173" spans="5:81" x14ac:dyDescent="0.25">
      <c r="E173" s="177">
        <v>63</v>
      </c>
      <c r="F173" s="224">
        <f t="shared" si="270"/>
        <v>6.3E-2</v>
      </c>
      <c r="G173" s="224"/>
      <c r="H173" s="224">
        <f t="shared" si="240"/>
        <v>0.39689999999999998</v>
      </c>
      <c r="I173" s="560">
        <f t="shared" si="241"/>
        <v>10</v>
      </c>
      <c r="J173" s="455">
        <f t="shared" si="242"/>
        <v>13.1</v>
      </c>
      <c r="K173" s="455">
        <f t="shared" si="243"/>
        <v>23.1</v>
      </c>
      <c r="L173" s="455"/>
      <c r="M173" s="224">
        <f t="shared" si="244"/>
        <v>0.5670995670995671</v>
      </c>
      <c r="N173" s="179">
        <f t="shared" si="245"/>
        <v>3.7003246753246755</v>
      </c>
      <c r="O173" s="179">
        <f t="shared" si="236"/>
        <v>0.39689999999999998</v>
      </c>
      <c r="P173" s="224">
        <f t="shared" si="246"/>
        <v>0.58735312306740883</v>
      </c>
      <c r="Q173" s="224">
        <f t="shared" si="247"/>
        <v>6.3</v>
      </c>
      <c r="R173" s="224"/>
      <c r="S173" s="179">
        <f t="shared" si="248"/>
        <v>98.584076031193433</v>
      </c>
      <c r="T173" s="179">
        <f t="shared" si="249"/>
        <v>6.3</v>
      </c>
      <c r="U173" s="224">
        <f t="shared" si="250"/>
        <v>0.15552824427480916</v>
      </c>
      <c r="V173" s="224">
        <f t="shared" si="251"/>
        <v>0.85540534351145048</v>
      </c>
      <c r="W173" s="224">
        <f t="shared" si="252"/>
        <v>0.6529811782530156</v>
      </c>
      <c r="X173" s="204">
        <f t="shared" si="253"/>
        <v>350</v>
      </c>
      <c r="Y173" s="455">
        <f t="shared" si="271"/>
        <v>350</v>
      </c>
      <c r="AA173" s="224">
        <f t="shared" si="254"/>
        <v>0.29459717771406085</v>
      </c>
      <c r="AB173" s="180">
        <f t="shared" si="255"/>
        <v>1.2368583797155226</v>
      </c>
      <c r="AC173" s="180">
        <f t="shared" si="256"/>
        <v>0.1275312457636627</v>
      </c>
      <c r="AD173" s="180"/>
      <c r="AE173" s="180">
        <f t="shared" si="257"/>
        <v>1.217557251908397</v>
      </c>
      <c r="AF173" s="564">
        <f t="shared" si="258"/>
        <v>178.42395416711705</v>
      </c>
      <c r="AG173" s="547">
        <f t="shared" si="259"/>
        <v>0.1235820610687023</v>
      </c>
      <c r="AI173" s="180">
        <f t="shared" si="260"/>
        <v>0.20705730432111608</v>
      </c>
      <c r="AJ173" s="180">
        <f t="shared" si="261"/>
        <v>0.28999999999999998</v>
      </c>
      <c r="AK173" s="180">
        <f t="shared" si="262"/>
        <v>1.1019565452383526</v>
      </c>
      <c r="AM173" s="564">
        <f t="shared" si="263"/>
        <v>63</v>
      </c>
      <c r="AN173" s="473">
        <f t="shared" si="264"/>
        <v>178.42395416711705</v>
      </c>
      <c r="AP173">
        <f t="shared" si="265"/>
        <v>63</v>
      </c>
      <c r="AQ173">
        <f t="shared" si="266"/>
        <v>178.42395416711705</v>
      </c>
      <c r="AS173" s="5">
        <f t="shared" si="237"/>
        <v>5.6046286198957969</v>
      </c>
      <c r="AT173" s="5">
        <f t="shared" si="267"/>
        <v>1.5949999999999998</v>
      </c>
      <c r="AU173" s="5">
        <f t="shared" si="272"/>
        <v>4.0096286198957971</v>
      </c>
      <c r="AV173" s="5"/>
      <c r="AW173" s="180">
        <f t="shared" si="273"/>
        <v>0.28458620689655162</v>
      </c>
      <c r="AX173" s="180">
        <f t="shared" si="233"/>
        <v>0.41264999999999996</v>
      </c>
      <c r="AY173" s="180">
        <f t="shared" si="234"/>
        <v>0.20746999999999999</v>
      </c>
      <c r="AZ173" s="180">
        <f t="shared" si="238"/>
        <v>1.9889622596037981</v>
      </c>
      <c r="BD173" s="180">
        <f t="shared" si="239"/>
        <v>8.9319090904464507E-2</v>
      </c>
      <c r="BE173" s="180">
        <f t="shared" si="235"/>
        <v>0.28323441410487765</v>
      </c>
      <c r="BG173" s="547">
        <f t="shared" si="274"/>
        <v>2.7922649999999978E-3</v>
      </c>
      <c r="BH173" s="547">
        <f t="shared" si="275"/>
        <v>1.195262068965517E-2</v>
      </c>
      <c r="BI173" s="547">
        <f t="shared" si="276"/>
        <v>2.230299427088963E-3</v>
      </c>
      <c r="BJ173" s="547">
        <f t="shared" si="277"/>
        <v>5.474506355529131E-3</v>
      </c>
      <c r="BK173">
        <f t="shared" si="278"/>
        <v>2.8999999999999998E-3</v>
      </c>
      <c r="BL173" s="473">
        <f t="shared" si="279"/>
        <v>25.349691472273264</v>
      </c>
      <c r="BM173" s="547">
        <f t="shared" si="280"/>
        <v>2.205E-2</v>
      </c>
      <c r="BP173" s="473">
        <f t="shared" si="281"/>
        <v>22.05</v>
      </c>
      <c r="BQ173" s="547">
        <f t="shared" si="282"/>
        <v>8.7756899999999938E-4</v>
      </c>
      <c r="BR173" s="547">
        <f t="shared" si="283"/>
        <v>2.8077606666666666E-3</v>
      </c>
      <c r="BS173" s="547">
        <f t="shared" si="284"/>
        <v>9.6293705370117889E-4</v>
      </c>
      <c r="BT173" s="547">
        <f t="shared" si="285"/>
        <v>1.5005454545454546E-2</v>
      </c>
      <c r="BU173" s="473">
        <f t="shared" si="286"/>
        <v>19.653721265822391</v>
      </c>
      <c r="BV173" s="180">
        <f t="shared" si="287"/>
        <v>6.7053412738095661E-2</v>
      </c>
      <c r="BW173" s="5">
        <f t="shared" si="288"/>
        <v>0.39689999999999998</v>
      </c>
      <c r="BX173" s="180">
        <f t="shared" si="289"/>
        <v>0.85547382367042157</v>
      </c>
      <c r="BY173" s="5">
        <f t="shared" si="290"/>
        <v>85.547382367042161</v>
      </c>
      <c r="CB173" s="582">
        <f t="shared" si="268"/>
        <v>-50</v>
      </c>
      <c r="CC173">
        <f t="shared" si="269"/>
        <v>-50</v>
      </c>
    </row>
    <row r="174" spans="5:81" x14ac:dyDescent="0.25">
      <c r="E174" s="177">
        <v>64</v>
      </c>
      <c r="F174" s="224">
        <f t="shared" si="270"/>
        <v>6.4000000000000001E-2</v>
      </c>
      <c r="G174" s="224"/>
      <c r="H174" s="224">
        <f t="shared" ref="H174:H205" si="291">F174*Vout</f>
        <v>0.4032</v>
      </c>
      <c r="I174" s="560">
        <f t="shared" ref="I174:I210" si="292">VIN_min</f>
        <v>10</v>
      </c>
      <c r="J174" s="455">
        <f t="shared" ref="J174:J210" si="293">(T174+Vfwd1)*Nps</f>
        <v>13.1</v>
      </c>
      <c r="K174" s="455">
        <f t="shared" ref="K174:K210" si="294">(Vout+Vfwd1)*Nps+I174</f>
        <v>23.1</v>
      </c>
      <c r="L174" s="455"/>
      <c r="M174" s="224">
        <f t="shared" ref="M174:M210" si="295">(Vout+Vfwd1)*Nps/((Vout+Vfwd1)*Nps+I174)</f>
        <v>0.5670995670995671</v>
      </c>
      <c r="N174" s="179">
        <f t="shared" ref="N174:N205" si="296">M174*I174*Isw_max*0.5*Efficiency</f>
        <v>3.7003246753246755</v>
      </c>
      <c r="O174" s="179">
        <f t="shared" si="236"/>
        <v>0.4032</v>
      </c>
      <c r="P174" s="224">
        <f t="shared" ref="P174:P205" si="297">N174/Vout</f>
        <v>0.58735312306740883</v>
      </c>
      <c r="Q174" s="224">
        <f t="shared" ref="Q174:Q210" si="298">MIN(Vout,N174/F174)</f>
        <v>6.3</v>
      </c>
      <c r="R174" s="224"/>
      <c r="S174" s="179">
        <f t="shared" ref="S174:S210" si="299">(SQRT(Isw_max^2*Nps^2*I174^2+4*Isw_max*F174/Efficiency*(Nps^2*Vfwd1*I174-Nps*I174^2)+4*(F174/Efficiency)^2*Nps^2*Vfwd1^2+8*(F174/Efficiency)^2*Nps*Vfwd1*I174+4*(F174/Efficiency)^2*I174^2)-2*F174/Efficiency*I174-2*F174/Efficiency*Nps*Vfwd1+Isw_max*Nps*I174)/(4*F174/Efficiency*Nps)</f>
        <v>96.965982968019631</v>
      </c>
      <c r="T174" s="179">
        <f t="shared" ref="T174:T205" si="300">MIN(Vout, S174)</f>
        <v>6.3</v>
      </c>
      <c r="U174" s="224">
        <f t="shared" ref="U174:U210" si="301">MIN(2*Vout*F174/(Efficiency*I174*M174), Isw_max)</f>
        <v>0.1579969465648855</v>
      </c>
      <c r="V174" s="224">
        <f t="shared" ref="V174:V205" si="302">L*U174/I174*1000000</f>
        <v>0.8689832061068703</v>
      </c>
      <c r="W174" s="224">
        <f t="shared" ref="W174:W210" si="303">L*U174/J174*1000000</f>
        <v>0.66334595886020631</v>
      </c>
      <c r="X174" s="204">
        <f t="shared" ref="X174:X210" si="304">IF(1/((350000*L)*(1/I174+1/J174))&gt;Isw_min, 350, 0.001/((Isw_min*L)*(1/I174+1/J174)))</f>
        <v>350</v>
      </c>
      <c r="Y174" s="455">
        <f t="shared" si="271"/>
        <v>350</v>
      </c>
      <c r="AA174" s="224">
        <f t="shared" ref="AA174:AA210" si="305">1/((X174*1000*L)*(1/I174+1/J174))</f>
        <v>0.29459717771406085</v>
      </c>
      <c r="AB174" s="180">
        <f t="shared" ref="AB174:AB205" si="306">L*AA174/J174*1000000</f>
        <v>1.2368583797155226</v>
      </c>
      <c r="AC174" s="180">
        <f t="shared" ref="AC174:AC205" si="307">0.5*AB174*AA174*Nps*X174/1000</f>
        <v>0.1275312457636627</v>
      </c>
      <c r="AD174" s="180"/>
      <c r="AE174" s="180">
        <f t="shared" ref="AE174:AE210" si="308">L*Isw_min/J174*1000000</f>
        <v>1.217557251908397</v>
      </c>
      <c r="AF174" s="564">
        <f t="shared" ref="AF174:AF205" si="309">MAX(10000,F174/(0.5*AE174/1000000*Isw_min*Nps))/1000</f>
        <v>181.25608042373796</v>
      </c>
      <c r="AG174" s="547">
        <f t="shared" ref="AG174:AG210" si="310">0.5*AE174/1000000*Isw_min*Nps*X174*1000</f>
        <v>0.1235820610687023</v>
      </c>
      <c r="AI174" s="180">
        <f t="shared" ref="AI174:AI210" si="311">SQRT(F174/(0.5*L/J174*Fsw_DCM*Nps))</f>
        <v>0.20869414642784484</v>
      </c>
      <c r="AJ174" s="180">
        <f t="shared" ref="AJ174:AJ205" si="312">MAX(IF(F174&gt;AC174,U174,AI174),Isw_min)</f>
        <v>0.28999999999999998</v>
      </c>
      <c r="AK174" s="180">
        <f t="shared" ref="AK174:AK205" si="313">IF(F174&gt;AG174, (AJ174-Isw_min)/1.08*0.8+1.2, AF174*0.2/350+1)</f>
        <v>1.1035749030992787</v>
      </c>
      <c r="AM174" s="564">
        <f t="shared" ref="AM174:AM210" si="314">F174*1000</f>
        <v>64</v>
      </c>
      <c r="AN174" s="473">
        <f t="shared" ref="AN174:AN210" si="315">IF(F174&gt;AG174, Y174, AF174)</f>
        <v>181.25608042373796</v>
      </c>
      <c r="AP174">
        <f t="shared" ref="AP174:AP210" si="316">IF(H174&gt;N174, "",AM174)</f>
        <v>64</v>
      </c>
      <c r="AQ174">
        <f t="shared" ref="AQ174:AQ210" si="317">IF(H174&gt;N174, "",AN174)</f>
        <v>181.25608042373796</v>
      </c>
      <c r="AS174" s="5">
        <f t="shared" si="237"/>
        <v>5.5170562977099245</v>
      </c>
      <c r="AT174" s="5">
        <f t="shared" ref="AT174:AT210" si="318">L*AJ174/I174*1000000</f>
        <v>1.5949999999999998</v>
      </c>
      <c r="AU174" s="5">
        <f t="shared" si="272"/>
        <v>3.9220562977099247</v>
      </c>
      <c r="AV174" s="5"/>
      <c r="AW174" s="180">
        <f t="shared" si="273"/>
        <v>0.28910344827586199</v>
      </c>
      <c r="AX174" s="180">
        <f t="shared" si="233"/>
        <v>0.41919999999999996</v>
      </c>
      <c r="AY174" s="180">
        <f t="shared" si="234"/>
        <v>0.20616000000000001</v>
      </c>
      <c r="AZ174" s="180">
        <f t="shared" si="238"/>
        <v>2.0333721381451295</v>
      </c>
      <c r="BD174" s="180">
        <f t="shared" si="239"/>
        <v>9.0025181662317849E-2</v>
      </c>
      <c r="BE174" s="180">
        <f t="shared" si="235"/>
        <v>0.28233880356762864</v>
      </c>
      <c r="BG174" s="547">
        <f t="shared" si="274"/>
        <v>2.8365866666666653E-3</v>
      </c>
      <c r="BH174" s="547">
        <f t="shared" si="275"/>
        <v>1.2142344827586206E-2</v>
      </c>
      <c r="BI174" s="547">
        <f t="shared" si="276"/>
        <v>2.2657010052967246E-3</v>
      </c>
      <c r="BJ174" s="547">
        <f t="shared" si="277"/>
        <v>5.5614032818073712E-3</v>
      </c>
      <c r="BK174">
        <f t="shared" si="278"/>
        <v>2.8999999999999998E-3</v>
      </c>
      <c r="BL174" s="473">
        <f t="shared" si="279"/>
        <v>25.706035781356967</v>
      </c>
      <c r="BM174" s="547">
        <f t="shared" si="280"/>
        <v>2.24E-2</v>
      </c>
      <c r="BP174" s="473">
        <f t="shared" si="281"/>
        <v>22.4</v>
      </c>
      <c r="BQ174" s="547">
        <f t="shared" si="282"/>
        <v>8.9149866666666632E-4</v>
      </c>
      <c r="BR174" s="547">
        <f t="shared" si="283"/>
        <v>2.7900319999999996E-3</v>
      </c>
      <c r="BS174" s="547">
        <f t="shared" si="284"/>
        <v>1.0016049448512956E-3</v>
      </c>
      <c r="BT174" s="547">
        <f t="shared" si="285"/>
        <v>1.5243636363636364E-2</v>
      </c>
      <c r="BU174" s="473">
        <f t="shared" si="286"/>
        <v>19.926771975154324</v>
      </c>
      <c r="BV174" s="180">
        <f t="shared" si="287"/>
        <v>6.8032807756511299E-2</v>
      </c>
      <c r="BW174" s="5">
        <f t="shared" si="288"/>
        <v>0.4032</v>
      </c>
      <c r="BX174" s="180">
        <f t="shared" si="289"/>
        <v>0.85562803218135808</v>
      </c>
      <c r="BY174" s="5">
        <f t="shared" si="290"/>
        <v>85.562803218135812</v>
      </c>
      <c r="CB174" s="582">
        <f t="shared" ref="CB174:CB210" si="319">IF(ABS(F174-Ioutmax_Vinmin)&lt;Iout/200, AN174, -50)</f>
        <v>-50</v>
      </c>
      <c r="CC174">
        <f t="shared" ref="CC174:CC210" si="320">IF(ABS(F174-Ioutmax_Vinmin)&lt;Iout/200, N174*BX174, -50)</f>
        <v>-50</v>
      </c>
    </row>
    <row r="175" spans="5:81" x14ac:dyDescent="0.25">
      <c r="E175" s="177">
        <v>65</v>
      </c>
      <c r="F175" s="224">
        <f t="shared" ref="F175:F206" si="321">IF(PLOT_TYPE=1, E175/100*Iout_max, min_I*EXP(N175*rr/100))</f>
        <v>6.5000000000000002E-2</v>
      </c>
      <c r="G175" s="224"/>
      <c r="H175" s="224">
        <f t="shared" si="291"/>
        <v>0.40949999999999998</v>
      </c>
      <c r="I175" s="560">
        <f t="shared" si="292"/>
        <v>10</v>
      </c>
      <c r="J175" s="455">
        <f t="shared" si="293"/>
        <v>13.1</v>
      </c>
      <c r="K175" s="455">
        <f t="shared" si="294"/>
        <v>23.1</v>
      </c>
      <c r="L175" s="455"/>
      <c r="M175" s="224">
        <f t="shared" si="295"/>
        <v>0.5670995670995671</v>
      </c>
      <c r="N175" s="179">
        <f t="shared" si="296"/>
        <v>3.7003246753246755</v>
      </c>
      <c r="O175" s="179">
        <f t="shared" si="236"/>
        <v>0.40949999999999998</v>
      </c>
      <c r="P175" s="224">
        <f t="shared" si="297"/>
        <v>0.58735312306740883</v>
      </c>
      <c r="Q175" s="224">
        <f t="shared" si="298"/>
        <v>6.3</v>
      </c>
      <c r="R175" s="224"/>
      <c r="S175" s="179">
        <f t="shared" si="299"/>
        <v>95.397684179858231</v>
      </c>
      <c r="T175" s="179">
        <f t="shared" si="300"/>
        <v>6.3</v>
      </c>
      <c r="U175" s="224">
        <f t="shared" si="301"/>
        <v>0.16046564885496181</v>
      </c>
      <c r="V175" s="224">
        <f t="shared" si="302"/>
        <v>0.88256106870229012</v>
      </c>
      <c r="W175" s="224">
        <f t="shared" si="303"/>
        <v>0.67371073946739701</v>
      </c>
      <c r="X175" s="204">
        <f t="shared" si="304"/>
        <v>350</v>
      </c>
      <c r="Y175" s="455">
        <f t="shared" si="271"/>
        <v>350</v>
      </c>
      <c r="AA175" s="224">
        <f t="shared" si="305"/>
        <v>0.29459717771406085</v>
      </c>
      <c r="AB175" s="180">
        <f t="shared" si="306"/>
        <v>1.2368583797155226</v>
      </c>
      <c r="AC175" s="180">
        <f t="shared" si="307"/>
        <v>0.1275312457636627</v>
      </c>
      <c r="AD175" s="180"/>
      <c r="AE175" s="180">
        <f t="shared" si="308"/>
        <v>1.217557251908397</v>
      </c>
      <c r="AF175" s="564">
        <f t="shared" si="309"/>
        <v>184.08820668035887</v>
      </c>
      <c r="AG175" s="547">
        <f t="shared" si="310"/>
        <v>0.1235820610687023</v>
      </c>
      <c r="AI175" s="180">
        <f t="shared" si="311"/>
        <v>0.21031824988280554</v>
      </c>
      <c r="AJ175" s="180">
        <f t="shared" si="312"/>
        <v>0.28999999999999998</v>
      </c>
      <c r="AK175" s="180">
        <f t="shared" si="313"/>
        <v>1.1051932609602051</v>
      </c>
      <c r="AM175" s="564">
        <f t="shared" si="314"/>
        <v>65</v>
      </c>
      <c r="AN175" s="473">
        <f t="shared" si="315"/>
        <v>184.08820668035887</v>
      </c>
      <c r="AP175">
        <f t="shared" si="316"/>
        <v>65</v>
      </c>
      <c r="AQ175">
        <f t="shared" si="317"/>
        <v>184.08820668035887</v>
      </c>
      <c r="AS175" s="5">
        <f t="shared" si="237"/>
        <v>5.4321785085143874</v>
      </c>
      <c r="AT175" s="5">
        <f t="shared" si="318"/>
        <v>1.5949999999999998</v>
      </c>
      <c r="AU175" s="5">
        <f t="shared" si="272"/>
        <v>3.8371785085143877</v>
      </c>
      <c r="AV175" s="5"/>
      <c r="AW175" s="180">
        <f t="shared" si="273"/>
        <v>0.2936206896551723</v>
      </c>
      <c r="AX175" s="180">
        <f t="shared" si="233"/>
        <v>0.42574999999999996</v>
      </c>
      <c r="AY175" s="180">
        <f t="shared" si="234"/>
        <v>0.20485000000000003</v>
      </c>
      <c r="AZ175" s="180">
        <f t="shared" si="238"/>
        <v>2.078350012204051</v>
      </c>
      <c r="BD175" s="180">
        <f t="shared" si="239"/>
        <v>9.0725777299875812E-2</v>
      </c>
      <c r="BE175" s="180">
        <f t="shared" si="235"/>
        <v>0.28144034299770648</v>
      </c>
      <c r="BG175" s="547">
        <f t="shared" si="274"/>
        <v>2.8809083333333312E-3</v>
      </c>
      <c r="BH175" s="547">
        <f t="shared" si="275"/>
        <v>1.2332068965517241E-2</v>
      </c>
      <c r="BI175" s="547">
        <f t="shared" si="276"/>
        <v>2.3011025835044858E-3</v>
      </c>
      <c r="BJ175" s="547">
        <f t="shared" si="277"/>
        <v>5.6483002080856114E-3</v>
      </c>
      <c r="BK175">
        <f t="shared" si="278"/>
        <v>2.8999999999999998E-3</v>
      </c>
      <c r="BL175" s="473">
        <f t="shared" si="279"/>
        <v>26.062380090440673</v>
      </c>
      <c r="BM175" s="547">
        <f t="shared" si="280"/>
        <v>2.2749999999999999E-2</v>
      </c>
      <c r="BP175" s="473">
        <f t="shared" si="281"/>
        <v>22.75</v>
      </c>
      <c r="BQ175" s="547">
        <f t="shared" si="282"/>
        <v>9.0542833333333273E-4</v>
      </c>
      <c r="BR175" s="547">
        <f t="shared" si="283"/>
        <v>2.7723033333333339E-3</v>
      </c>
      <c r="BS175" s="547">
        <f t="shared" si="284"/>
        <v>1.0411898280518284E-3</v>
      </c>
      <c r="BT175" s="547">
        <f t="shared" si="285"/>
        <v>1.5481818181818182E-2</v>
      </c>
      <c r="BU175" s="473">
        <f t="shared" si="286"/>
        <v>20.200739676536678</v>
      </c>
      <c r="BV175" s="180">
        <f t="shared" si="287"/>
        <v>6.9013119766977354E-2</v>
      </c>
      <c r="BW175" s="5">
        <f t="shared" si="288"/>
        <v>0.40949999999999998</v>
      </c>
      <c r="BX175" s="180">
        <f t="shared" si="289"/>
        <v>0.85577590892265443</v>
      </c>
      <c r="BY175" s="5">
        <f t="shared" si="290"/>
        <v>85.577590892265448</v>
      </c>
      <c r="CB175" s="582">
        <f t="shared" si="319"/>
        <v>-50</v>
      </c>
      <c r="CC175">
        <f t="shared" si="320"/>
        <v>-50</v>
      </c>
    </row>
    <row r="176" spans="5:81" x14ac:dyDescent="0.25">
      <c r="E176" s="177">
        <v>66</v>
      </c>
      <c r="F176" s="224">
        <f t="shared" si="321"/>
        <v>6.6000000000000003E-2</v>
      </c>
      <c r="G176" s="224"/>
      <c r="H176" s="224">
        <f t="shared" si="291"/>
        <v>0.4158</v>
      </c>
      <c r="I176" s="560">
        <f t="shared" si="292"/>
        <v>10</v>
      </c>
      <c r="J176" s="455">
        <f t="shared" si="293"/>
        <v>13.1</v>
      </c>
      <c r="K176" s="455">
        <f t="shared" si="294"/>
        <v>23.1</v>
      </c>
      <c r="L176" s="455"/>
      <c r="M176" s="224">
        <f t="shared" si="295"/>
        <v>0.5670995670995671</v>
      </c>
      <c r="N176" s="179">
        <f t="shared" si="296"/>
        <v>3.7003246753246755</v>
      </c>
      <c r="O176" s="179">
        <f t="shared" si="236"/>
        <v>0.4158</v>
      </c>
      <c r="P176" s="224">
        <f t="shared" si="297"/>
        <v>0.58735312306740883</v>
      </c>
      <c r="Q176" s="224">
        <f t="shared" si="298"/>
        <v>6.3</v>
      </c>
      <c r="R176" s="224"/>
      <c r="S176" s="179">
        <f t="shared" si="299"/>
        <v>93.876916305751323</v>
      </c>
      <c r="T176" s="555">
        <f t="shared" si="300"/>
        <v>6.3</v>
      </c>
      <c r="U176" s="224">
        <f t="shared" si="301"/>
        <v>0.16293435114503818</v>
      </c>
      <c r="V176" s="224">
        <f t="shared" si="302"/>
        <v>0.89613893129771005</v>
      </c>
      <c r="W176" s="224">
        <f t="shared" si="303"/>
        <v>0.68407552007458783</v>
      </c>
      <c r="X176" s="204">
        <f t="shared" si="304"/>
        <v>350</v>
      </c>
      <c r="Y176" s="455">
        <f t="shared" si="271"/>
        <v>350</v>
      </c>
      <c r="AA176" s="224">
        <f t="shared" si="305"/>
        <v>0.29459717771406085</v>
      </c>
      <c r="AB176" s="180">
        <f t="shared" si="306"/>
        <v>1.2368583797155226</v>
      </c>
      <c r="AC176" s="180">
        <f t="shared" si="307"/>
        <v>0.1275312457636627</v>
      </c>
      <c r="AD176" s="180"/>
      <c r="AE176" s="180">
        <f t="shared" si="308"/>
        <v>1.217557251908397</v>
      </c>
      <c r="AF176" s="564">
        <f t="shared" si="309"/>
        <v>186.92033293697978</v>
      </c>
      <c r="AG176" s="547">
        <f t="shared" si="310"/>
        <v>0.1235820610687023</v>
      </c>
      <c r="AI176" s="180">
        <f t="shared" si="311"/>
        <v>0.21192990755031654</v>
      </c>
      <c r="AJ176" s="180">
        <f t="shared" si="312"/>
        <v>0.28999999999999998</v>
      </c>
      <c r="AK176" s="180">
        <f t="shared" si="313"/>
        <v>1.1068116188211312</v>
      </c>
      <c r="AM176" s="564">
        <f t="shared" si="314"/>
        <v>66</v>
      </c>
      <c r="AN176" s="473">
        <f t="shared" si="315"/>
        <v>186.92033293697978</v>
      </c>
      <c r="AP176">
        <f t="shared" si="316"/>
        <v>66</v>
      </c>
      <c r="AQ176">
        <f t="shared" si="317"/>
        <v>186.92033293697978</v>
      </c>
      <c r="AS176" s="5">
        <f t="shared" si="237"/>
        <v>5.3498727735368963</v>
      </c>
      <c r="AT176" s="5">
        <f t="shared" si="318"/>
        <v>1.5949999999999998</v>
      </c>
      <c r="AU176" s="5">
        <f t="shared" si="272"/>
        <v>3.7548727735368965</v>
      </c>
      <c r="AV176" s="5"/>
      <c r="AW176" s="180">
        <f t="shared" si="273"/>
        <v>0.29813793103448266</v>
      </c>
      <c r="AX176" s="180">
        <f t="shared" si="233"/>
        <v>0.43230000000000002</v>
      </c>
      <c r="AY176" s="180">
        <f t="shared" si="234"/>
        <v>0.20354</v>
      </c>
      <c r="AZ176" s="180">
        <f t="shared" si="238"/>
        <v>2.1239068487766533</v>
      </c>
      <c r="BD176" s="180">
        <f t="shared" si="239"/>
        <v>9.1421004151124904E-2</v>
      </c>
      <c r="BE176" s="180">
        <f t="shared" si="235"/>
        <v>0.28053900501237494</v>
      </c>
      <c r="BG176" s="547">
        <f t="shared" si="274"/>
        <v>2.9252299999999987E-3</v>
      </c>
      <c r="BH176" s="547">
        <f t="shared" si="275"/>
        <v>1.2521793103448274E-2</v>
      </c>
      <c r="BI176" s="547">
        <f t="shared" si="276"/>
        <v>2.3365041617122474E-3</v>
      </c>
      <c r="BJ176" s="547">
        <f t="shared" si="277"/>
        <v>5.7351971343638517E-3</v>
      </c>
      <c r="BK176">
        <f t="shared" si="278"/>
        <v>2.8999999999999998E-3</v>
      </c>
      <c r="BL176" s="473">
        <f t="shared" si="279"/>
        <v>26.418724399524368</v>
      </c>
      <c r="BM176" s="547">
        <f t="shared" si="280"/>
        <v>2.3099999999999999E-2</v>
      </c>
      <c r="BP176" s="473">
        <f t="shared" si="281"/>
        <v>23.099999999999998</v>
      </c>
      <c r="BQ176" s="547">
        <f t="shared" si="282"/>
        <v>9.1935799999999968E-4</v>
      </c>
      <c r="BR176" s="547">
        <f t="shared" si="283"/>
        <v>2.7545746666666668E-3</v>
      </c>
      <c r="BS176" s="547">
        <f t="shared" si="284"/>
        <v>1.0816988396788376E-3</v>
      </c>
      <c r="BT176" s="547">
        <f t="shared" si="285"/>
        <v>1.5719999999999998E-2</v>
      </c>
      <c r="BU176" s="473">
        <f t="shared" si="286"/>
        <v>20.475631506345501</v>
      </c>
      <c r="BV176" s="180">
        <f t="shared" si="287"/>
        <v>6.9994355905869887E-2</v>
      </c>
      <c r="BW176" s="5">
        <f t="shared" si="288"/>
        <v>0.4158</v>
      </c>
      <c r="BX176" s="180">
        <f t="shared" si="289"/>
        <v>0.85591772515481357</v>
      </c>
      <c r="BY176" s="5">
        <f t="shared" si="290"/>
        <v>85.591772515481352</v>
      </c>
      <c r="CB176" s="582">
        <f t="shared" si="319"/>
        <v>-50</v>
      </c>
      <c r="CC176">
        <f t="shared" si="320"/>
        <v>-50</v>
      </c>
    </row>
    <row r="177" spans="5:81" x14ac:dyDescent="0.25">
      <c r="E177" s="177">
        <v>67</v>
      </c>
      <c r="F177" s="224">
        <f t="shared" si="321"/>
        <v>6.7000000000000004E-2</v>
      </c>
      <c r="G177" s="224"/>
      <c r="H177" s="224">
        <f t="shared" si="291"/>
        <v>0.42210000000000003</v>
      </c>
      <c r="I177" s="560">
        <f t="shared" si="292"/>
        <v>10</v>
      </c>
      <c r="J177" s="455">
        <f t="shared" si="293"/>
        <v>13.1</v>
      </c>
      <c r="K177" s="455">
        <f t="shared" si="294"/>
        <v>23.1</v>
      </c>
      <c r="L177" s="455"/>
      <c r="M177" s="224">
        <f t="shared" si="295"/>
        <v>0.5670995670995671</v>
      </c>
      <c r="N177" s="179">
        <f t="shared" si="296"/>
        <v>3.7003246753246755</v>
      </c>
      <c r="O177" s="179">
        <f t="shared" si="236"/>
        <v>0.42210000000000003</v>
      </c>
      <c r="P177" s="224">
        <f t="shared" si="297"/>
        <v>0.58735312306740883</v>
      </c>
      <c r="Q177" s="224">
        <f t="shared" si="298"/>
        <v>6.3</v>
      </c>
      <c r="R177" s="224"/>
      <c r="S177" s="179">
        <f t="shared" si="299"/>
        <v>92.401551110810715</v>
      </c>
      <c r="T177" s="555">
        <f t="shared" si="300"/>
        <v>6.3</v>
      </c>
      <c r="U177" s="224">
        <f t="shared" si="301"/>
        <v>0.16540305343511452</v>
      </c>
      <c r="V177" s="224">
        <f t="shared" si="302"/>
        <v>0.90971679389312987</v>
      </c>
      <c r="W177" s="224">
        <f t="shared" si="303"/>
        <v>0.69444030068177853</v>
      </c>
      <c r="X177" s="204">
        <f t="shared" si="304"/>
        <v>350</v>
      </c>
      <c r="Y177" s="455">
        <f t="shared" si="271"/>
        <v>350</v>
      </c>
      <c r="AA177" s="224">
        <f t="shared" si="305"/>
        <v>0.29459717771406085</v>
      </c>
      <c r="AB177" s="180">
        <f t="shared" si="306"/>
        <v>1.2368583797155226</v>
      </c>
      <c r="AC177" s="180">
        <f t="shared" si="307"/>
        <v>0.1275312457636627</v>
      </c>
      <c r="AD177" s="180"/>
      <c r="AE177" s="180">
        <f t="shared" si="308"/>
        <v>1.217557251908397</v>
      </c>
      <c r="AF177" s="564">
        <f t="shared" si="309"/>
        <v>189.75245919360066</v>
      </c>
      <c r="AG177" s="547">
        <f t="shared" si="310"/>
        <v>0.1235820610687023</v>
      </c>
      <c r="AI177" s="180">
        <f t="shared" si="311"/>
        <v>0.21352940124208936</v>
      </c>
      <c r="AJ177" s="180">
        <f t="shared" si="312"/>
        <v>0.28999999999999998</v>
      </c>
      <c r="AK177" s="180">
        <f t="shared" si="313"/>
        <v>1.1084299766820576</v>
      </c>
      <c r="AM177" s="564">
        <f t="shared" si="314"/>
        <v>67</v>
      </c>
      <c r="AN177" s="473">
        <f t="shared" si="315"/>
        <v>189.75245919360066</v>
      </c>
      <c r="AP177">
        <f t="shared" si="316"/>
        <v>67</v>
      </c>
      <c r="AQ177">
        <f t="shared" si="317"/>
        <v>189.75245919360066</v>
      </c>
      <c r="AS177" s="5">
        <f t="shared" si="237"/>
        <v>5.2700239261706745</v>
      </c>
      <c r="AT177" s="5">
        <f t="shared" si="318"/>
        <v>1.5949999999999998</v>
      </c>
      <c r="AU177" s="5">
        <f t="shared" si="272"/>
        <v>3.6750239261706747</v>
      </c>
      <c r="AV177" s="5"/>
      <c r="AW177" s="180">
        <f t="shared" si="273"/>
        <v>0.30265517241379297</v>
      </c>
      <c r="AX177" s="180">
        <f t="shared" si="233"/>
        <v>0.43884999999999991</v>
      </c>
      <c r="AY177" s="180">
        <f t="shared" si="234"/>
        <v>0.20223000000000005</v>
      </c>
      <c r="AZ177" s="180">
        <f t="shared" si="238"/>
        <v>2.1700538990258607</v>
      </c>
      <c r="BD177" s="180">
        <f t="shared" si="239"/>
        <v>9.2110983782246775E-2</v>
      </c>
      <c r="BE177" s="180">
        <f t="shared" si="235"/>
        <v>0.27963476178758606</v>
      </c>
      <c r="BG177" s="547">
        <f t="shared" si="274"/>
        <v>2.9695516666666645E-3</v>
      </c>
      <c r="BH177" s="547">
        <f t="shared" si="275"/>
        <v>1.2711517241379309E-2</v>
      </c>
      <c r="BI177" s="547">
        <f t="shared" si="276"/>
        <v>2.3719057399200082E-3</v>
      </c>
      <c r="BJ177" s="547">
        <f t="shared" si="277"/>
        <v>5.8220940606420911E-3</v>
      </c>
      <c r="BK177">
        <f t="shared" si="278"/>
        <v>2.8999999999999998E-3</v>
      </c>
      <c r="BL177" s="473">
        <f t="shared" si="279"/>
        <v>26.775068708608075</v>
      </c>
      <c r="BM177" s="547">
        <f t="shared" si="280"/>
        <v>2.3449999999999999E-2</v>
      </c>
      <c r="BP177" s="473">
        <f t="shared" si="281"/>
        <v>23.45</v>
      </c>
      <c r="BQ177" s="547">
        <f t="shared" si="282"/>
        <v>9.3328766666666608E-4</v>
      </c>
      <c r="BR177" s="547">
        <f t="shared" si="283"/>
        <v>2.7368460000000002E-3</v>
      </c>
      <c r="BS177" s="547">
        <f t="shared" si="284"/>
        <v>1.1231390614178586E-3</v>
      </c>
      <c r="BT177" s="547">
        <f t="shared" si="285"/>
        <v>1.5958181818181816E-2</v>
      </c>
      <c r="BU177" s="473">
        <f t="shared" si="286"/>
        <v>20.751454546266341</v>
      </c>
      <c r="BV177" s="180">
        <f t="shared" si="287"/>
        <v>7.0976523254874413E-2</v>
      </c>
      <c r="BW177" s="5">
        <f t="shared" si="288"/>
        <v>0.42210000000000003</v>
      </c>
      <c r="BX177" s="180">
        <f t="shared" si="289"/>
        <v>0.85605373627130454</v>
      </c>
      <c r="BY177" s="5">
        <f t="shared" si="290"/>
        <v>85.605373627130462</v>
      </c>
      <c r="CB177" s="582">
        <f t="shared" si="319"/>
        <v>-50</v>
      </c>
      <c r="CC177">
        <f t="shared" si="320"/>
        <v>-50</v>
      </c>
    </row>
    <row r="178" spans="5:81" x14ac:dyDescent="0.25">
      <c r="E178" s="177">
        <v>68</v>
      </c>
      <c r="F178" s="224">
        <f t="shared" si="321"/>
        <v>6.8000000000000005E-2</v>
      </c>
      <c r="G178" s="224"/>
      <c r="H178" s="224">
        <f t="shared" si="291"/>
        <v>0.4284</v>
      </c>
      <c r="I178" s="560">
        <f t="shared" si="292"/>
        <v>10</v>
      </c>
      <c r="J178" s="455">
        <f t="shared" si="293"/>
        <v>13.1</v>
      </c>
      <c r="K178" s="455">
        <f t="shared" si="294"/>
        <v>23.1</v>
      </c>
      <c r="L178" s="455"/>
      <c r="M178" s="224">
        <f t="shared" si="295"/>
        <v>0.5670995670995671</v>
      </c>
      <c r="N178" s="179">
        <f t="shared" si="296"/>
        <v>3.7003246753246755</v>
      </c>
      <c r="O178" s="179">
        <f t="shared" si="236"/>
        <v>0.4284</v>
      </c>
      <c r="P178" s="224">
        <f t="shared" si="297"/>
        <v>0.58735312306740883</v>
      </c>
      <c r="Q178" s="224">
        <f t="shared" si="298"/>
        <v>6.3</v>
      </c>
      <c r="R178" s="224"/>
      <c r="S178" s="179">
        <f t="shared" si="299"/>
        <v>90.969585550477717</v>
      </c>
      <c r="T178" s="555">
        <f t="shared" si="300"/>
        <v>6.3</v>
      </c>
      <c r="U178" s="224">
        <f t="shared" si="301"/>
        <v>0.16787175572519084</v>
      </c>
      <c r="V178" s="224">
        <f t="shared" si="302"/>
        <v>0.92329465648854969</v>
      </c>
      <c r="W178" s="224">
        <f t="shared" si="303"/>
        <v>0.70480508128896924</v>
      </c>
      <c r="X178" s="204">
        <f t="shared" si="304"/>
        <v>350</v>
      </c>
      <c r="Y178" s="455">
        <f t="shared" si="271"/>
        <v>350</v>
      </c>
      <c r="AA178" s="224">
        <f t="shared" si="305"/>
        <v>0.29459717771406085</v>
      </c>
      <c r="AB178" s="180">
        <f t="shared" si="306"/>
        <v>1.2368583797155226</v>
      </c>
      <c r="AC178" s="180">
        <f t="shared" si="307"/>
        <v>0.1275312457636627</v>
      </c>
      <c r="AD178" s="180"/>
      <c r="AE178" s="180">
        <f t="shared" si="308"/>
        <v>1.217557251908397</v>
      </c>
      <c r="AF178" s="564">
        <f t="shared" si="309"/>
        <v>192.58458545022157</v>
      </c>
      <c r="AG178" s="547">
        <f t="shared" si="310"/>
        <v>0.1235820610687023</v>
      </c>
      <c r="AI178" s="180">
        <f t="shared" si="311"/>
        <v>0.21511700229253072</v>
      </c>
      <c r="AJ178" s="180">
        <f t="shared" si="312"/>
        <v>0.28999999999999998</v>
      </c>
      <c r="AK178" s="180">
        <f t="shared" si="313"/>
        <v>1.1100483345429837</v>
      </c>
      <c r="AM178" s="564">
        <f t="shared" si="314"/>
        <v>68</v>
      </c>
      <c r="AN178" s="473">
        <f t="shared" si="315"/>
        <v>192.58458545022157</v>
      </c>
      <c r="AP178">
        <f t="shared" si="316"/>
        <v>68</v>
      </c>
      <c r="AQ178">
        <f t="shared" si="317"/>
        <v>192.58458545022157</v>
      </c>
      <c r="AS178" s="5">
        <f t="shared" si="237"/>
        <v>5.1925235743152234</v>
      </c>
      <c r="AT178" s="5">
        <f t="shared" si="318"/>
        <v>1.5949999999999998</v>
      </c>
      <c r="AU178" s="5">
        <f t="shared" si="272"/>
        <v>3.5975235743152236</v>
      </c>
      <c r="AV178" s="5"/>
      <c r="AW178" s="180">
        <f t="shared" si="273"/>
        <v>0.30717241379310334</v>
      </c>
      <c r="AX178" s="180">
        <f t="shared" si="233"/>
        <v>0.44539999999999991</v>
      </c>
      <c r="AY178" s="180">
        <f t="shared" si="234"/>
        <v>0.20092000000000002</v>
      </c>
      <c r="AZ178" s="180">
        <f t="shared" si="238"/>
        <v>2.2168027075452912</v>
      </c>
      <c r="BD178" s="180">
        <f t="shared" si="239"/>
        <v>9.2795833239788642E-2</v>
      </c>
      <c r="BE178" s="180">
        <f t="shared" si="235"/>
        <v>0.27872758504795803</v>
      </c>
      <c r="BG178" s="547">
        <f t="shared" si="274"/>
        <v>3.0138733333333312E-3</v>
      </c>
      <c r="BH178" s="547">
        <f t="shared" si="275"/>
        <v>1.2901241379310343E-2</v>
      </c>
      <c r="BI178" s="547">
        <f t="shared" si="276"/>
        <v>2.4073073181277694E-3</v>
      </c>
      <c r="BJ178" s="547">
        <f t="shared" si="277"/>
        <v>5.9089909869203313E-3</v>
      </c>
      <c r="BK178">
        <f t="shared" si="278"/>
        <v>2.8999999999999998E-3</v>
      </c>
      <c r="BL178" s="473">
        <f t="shared" si="279"/>
        <v>27.13141301769177</v>
      </c>
      <c r="BM178" s="547">
        <f t="shared" si="280"/>
        <v>2.3800000000000002E-2</v>
      </c>
      <c r="BP178" s="473">
        <f t="shared" si="281"/>
        <v>23.8</v>
      </c>
      <c r="BQ178" s="547">
        <f t="shared" si="282"/>
        <v>9.4721733333333281E-4</v>
      </c>
      <c r="BR178" s="547">
        <f t="shared" si="283"/>
        <v>2.7191173333333341E-3</v>
      </c>
      <c r="BS178" s="547">
        <f t="shared" si="284"/>
        <v>1.1655175215024029E-3</v>
      </c>
      <c r="BT178" s="547">
        <f t="shared" si="285"/>
        <v>1.6196363636363634E-2</v>
      </c>
      <c r="BU178" s="473">
        <f t="shared" si="286"/>
        <v>21.028215824532701</v>
      </c>
      <c r="BV178" s="180">
        <f t="shared" si="287"/>
        <v>7.1959628842224482E-2</v>
      </c>
      <c r="BW178" s="5">
        <f t="shared" si="288"/>
        <v>0.4284</v>
      </c>
      <c r="BX178" s="180">
        <f t="shared" si="289"/>
        <v>0.85618418294711163</v>
      </c>
      <c r="BY178" s="5">
        <f t="shared" si="290"/>
        <v>85.618418294711162</v>
      </c>
      <c r="CB178" s="582">
        <f t="shared" si="319"/>
        <v>-50</v>
      </c>
      <c r="CC178">
        <f t="shared" si="320"/>
        <v>-50</v>
      </c>
    </row>
    <row r="179" spans="5:81" x14ac:dyDescent="0.25">
      <c r="E179" s="177">
        <v>69</v>
      </c>
      <c r="F179" s="224">
        <f t="shared" si="321"/>
        <v>6.8999999999999992E-2</v>
      </c>
      <c r="G179" s="224"/>
      <c r="H179" s="224">
        <f t="shared" si="291"/>
        <v>0.43469999999999992</v>
      </c>
      <c r="I179" s="560">
        <f t="shared" si="292"/>
        <v>10</v>
      </c>
      <c r="J179" s="455">
        <f t="shared" si="293"/>
        <v>13.1</v>
      </c>
      <c r="K179" s="455">
        <f t="shared" si="294"/>
        <v>23.1</v>
      </c>
      <c r="L179" s="455"/>
      <c r="M179" s="224">
        <f t="shared" si="295"/>
        <v>0.5670995670995671</v>
      </c>
      <c r="N179" s="179">
        <f t="shared" si="296"/>
        <v>3.7003246753246755</v>
      </c>
      <c r="O179" s="179">
        <f t="shared" si="236"/>
        <v>0.43469999999999992</v>
      </c>
      <c r="P179" s="224">
        <f t="shared" si="297"/>
        <v>0.58735312306740883</v>
      </c>
      <c r="Q179" s="224">
        <f t="shared" si="298"/>
        <v>6.3</v>
      </c>
      <c r="R179" s="224"/>
      <c r="S179" s="179">
        <f t="shared" si="299"/>
        <v>89.579132698760247</v>
      </c>
      <c r="T179" s="555">
        <f t="shared" si="300"/>
        <v>6.3</v>
      </c>
      <c r="U179" s="224">
        <f t="shared" si="301"/>
        <v>0.17034045801526715</v>
      </c>
      <c r="V179" s="224">
        <f t="shared" si="302"/>
        <v>0.9368725190839694</v>
      </c>
      <c r="W179" s="224">
        <f t="shared" si="303"/>
        <v>0.71516986189615983</v>
      </c>
      <c r="X179" s="204">
        <f t="shared" si="304"/>
        <v>350</v>
      </c>
      <c r="Y179" s="455">
        <f t="shared" si="271"/>
        <v>350</v>
      </c>
      <c r="AA179" s="224">
        <f t="shared" si="305"/>
        <v>0.29459717771406085</v>
      </c>
      <c r="AB179" s="180">
        <f t="shared" si="306"/>
        <v>1.2368583797155226</v>
      </c>
      <c r="AC179" s="180">
        <f t="shared" si="307"/>
        <v>0.1275312457636627</v>
      </c>
      <c r="AD179" s="180"/>
      <c r="AE179" s="180">
        <f t="shared" si="308"/>
        <v>1.217557251908397</v>
      </c>
      <c r="AF179" s="564">
        <f t="shared" si="309"/>
        <v>195.41671170684245</v>
      </c>
      <c r="AG179" s="547">
        <f t="shared" si="310"/>
        <v>0.1235820610687023</v>
      </c>
      <c r="AI179" s="180">
        <f t="shared" si="311"/>
        <v>0.21669297209610686</v>
      </c>
      <c r="AJ179" s="180">
        <f t="shared" si="312"/>
        <v>0.28999999999999998</v>
      </c>
      <c r="AK179" s="180">
        <f t="shared" si="313"/>
        <v>1.11166669240391</v>
      </c>
      <c r="AM179" s="564">
        <f t="shared" si="314"/>
        <v>68.999999999999986</v>
      </c>
      <c r="AN179" s="473">
        <f t="shared" si="315"/>
        <v>195.41671170684245</v>
      </c>
      <c r="AP179">
        <f t="shared" si="316"/>
        <v>68.999999999999986</v>
      </c>
      <c r="AQ179">
        <f t="shared" si="317"/>
        <v>195.41671170684245</v>
      </c>
      <c r="AS179" s="5">
        <f t="shared" si="237"/>
        <v>5.1172696094700756</v>
      </c>
      <c r="AT179" s="5">
        <f t="shared" si="318"/>
        <v>1.5949999999999998</v>
      </c>
      <c r="AU179" s="5">
        <f t="shared" si="272"/>
        <v>3.5222696094700758</v>
      </c>
      <c r="AV179" s="5"/>
      <c r="AW179" s="180">
        <f t="shared" si="273"/>
        <v>0.31168965517241365</v>
      </c>
      <c r="AX179" s="180">
        <f t="shared" si="233"/>
        <v>0.45194999999999991</v>
      </c>
      <c r="AY179" s="180">
        <f t="shared" si="234"/>
        <v>0.19961000000000004</v>
      </c>
      <c r="AZ179" s="180">
        <f t="shared" si="238"/>
        <v>2.2641651219878756</v>
      </c>
      <c r="BD179" s="180">
        <f t="shared" si="239"/>
        <v>9.3475665282467993E-2</v>
      </c>
      <c r="BE179" s="180">
        <f t="shared" si="235"/>
        <v>0.27781744605645869</v>
      </c>
      <c r="BG179" s="547">
        <f t="shared" si="274"/>
        <v>3.0581949999999971E-3</v>
      </c>
      <c r="BH179" s="547">
        <f t="shared" si="275"/>
        <v>1.3090965517241376E-2</v>
      </c>
      <c r="BI179" s="547">
        <f t="shared" si="276"/>
        <v>2.4427088963355306E-3</v>
      </c>
      <c r="BJ179" s="547">
        <f t="shared" si="277"/>
        <v>5.9958879131985707E-3</v>
      </c>
      <c r="BK179">
        <f t="shared" si="278"/>
        <v>2.8999999999999998E-3</v>
      </c>
      <c r="BL179" s="473">
        <f t="shared" si="279"/>
        <v>27.487757326775476</v>
      </c>
      <c r="BM179" s="547">
        <f t="shared" si="280"/>
        <v>2.4149999999999994E-2</v>
      </c>
      <c r="BP179" s="473">
        <f t="shared" si="281"/>
        <v>24.149999999999995</v>
      </c>
      <c r="BQ179" s="547">
        <f t="shared" si="282"/>
        <v>9.6114699999999911E-4</v>
      </c>
      <c r="BR179" s="547">
        <f t="shared" si="283"/>
        <v>2.7013886666666666E-3</v>
      </c>
      <c r="BS179" s="547">
        <f t="shared" si="284"/>
        <v>1.2088411959063797E-3</v>
      </c>
      <c r="BT179" s="547">
        <f t="shared" si="285"/>
        <v>1.6434545454545452E-2</v>
      </c>
      <c r="BU179" s="473">
        <f t="shared" si="286"/>
        <v>21.305922317118497</v>
      </c>
      <c r="BV179" s="180">
        <f t="shared" si="287"/>
        <v>7.2943679643893977E-2</v>
      </c>
      <c r="BW179" s="5">
        <f t="shared" si="288"/>
        <v>0.43469999999999992</v>
      </c>
      <c r="BX179" s="180">
        <f t="shared" si="289"/>
        <v>0.85630929218883778</v>
      </c>
      <c r="BY179" s="5">
        <f t="shared" si="290"/>
        <v>85.630929218883779</v>
      </c>
      <c r="CB179" s="582">
        <f t="shared" si="319"/>
        <v>-50</v>
      </c>
      <c r="CC179">
        <f t="shared" si="320"/>
        <v>-50</v>
      </c>
    </row>
    <row r="180" spans="5:81" x14ac:dyDescent="0.25">
      <c r="E180" s="177">
        <v>70</v>
      </c>
      <c r="F180" s="224">
        <f t="shared" si="321"/>
        <v>6.9999999999999993E-2</v>
      </c>
      <c r="G180" s="224"/>
      <c r="H180" s="224">
        <f t="shared" si="291"/>
        <v>0.44099999999999995</v>
      </c>
      <c r="I180" s="560">
        <f t="shared" si="292"/>
        <v>10</v>
      </c>
      <c r="J180" s="455">
        <f t="shared" si="293"/>
        <v>13.1</v>
      </c>
      <c r="K180" s="455">
        <f t="shared" si="294"/>
        <v>23.1</v>
      </c>
      <c r="L180" s="455"/>
      <c r="M180" s="224">
        <f t="shared" si="295"/>
        <v>0.5670995670995671</v>
      </c>
      <c r="N180" s="179">
        <f t="shared" si="296"/>
        <v>3.7003246753246755</v>
      </c>
      <c r="O180" s="179">
        <f t="shared" si="236"/>
        <v>0.44099999999999995</v>
      </c>
      <c r="P180" s="224">
        <f t="shared" si="297"/>
        <v>0.58735312306740883</v>
      </c>
      <c r="Q180" s="224">
        <f t="shared" si="298"/>
        <v>6.3</v>
      </c>
      <c r="R180" s="224"/>
      <c r="S180" s="179">
        <f t="shared" si="299"/>
        <v>88.228413454049615</v>
      </c>
      <c r="T180" s="555">
        <f t="shared" si="300"/>
        <v>6.3</v>
      </c>
      <c r="U180" s="224">
        <f t="shared" si="301"/>
        <v>0.17280916030534349</v>
      </c>
      <c r="V180" s="224">
        <f t="shared" si="302"/>
        <v>0.95045038167938922</v>
      </c>
      <c r="W180" s="224">
        <f t="shared" si="303"/>
        <v>0.72553464250335054</v>
      </c>
      <c r="X180" s="204">
        <f t="shared" si="304"/>
        <v>350</v>
      </c>
      <c r="Y180" s="455">
        <f t="shared" si="271"/>
        <v>350</v>
      </c>
      <c r="AA180" s="224">
        <f t="shared" si="305"/>
        <v>0.29459717771406085</v>
      </c>
      <c r="AB180" s="180">
        <f t="shared" si="306"/>
        <v>1.2368583797155226</v>
      </c>
      <c r="AC180" s="180">
        <f t="shared" si="307"/>
        <v>0.1275312457636627</v>
      </c>
      <c r="AD180" s="180"/>
      <c r="AE180" s="180">
        <f t="shared" si="308"/>
        <v>1.217557251908397</v>
      </c>
      <c r="AF180" s="564">
        <f t="shared" si="309"/>
        <v>198.24883796346336</v>
      </c>
      <c r="AG180" s="547">
        <f t="shared" si="310"/>
        <v>0.1235820610687023</v>
      </c>
      <c r="AI180" s="180">
        <f t="shared" si="311"/>
        <v>0.21825756260978363</v>
      </c>
      <c r="AJ180" s="180">
        <f t="shared" si="312"/>
        <v>0.28999999999999998</v>
      </c>
      <c r="AK180" s="180">
        <f t="shared" si="313"/>
        <v>1.1132850502648362</v>
      </c>
      <c r="AM180" s="564">
        <f t="shared" si="314"/>
        <v>69.999999999999986</v>
      </c>
      <c r="AN180" s="473">
        <f t="shared" si="315"/>
        <v>198.24883796346336</v>
      </c>
      <c r="AP180">
        <f t="shared" si="316"/>
        <v>69.999999999999986</v>
      </c>
      <c r="AQ180">
        <f t="shared" si="317"/>
        <v>198.24883796346336</v>
      </c>
      <c r="AS180" s="5">
        <f t="shared" si="237"/>
        <v>5.0441657579062174</v>
      </c>
      <c r="AT180" s="5">
        <f t="shared" si="318"/>
        <v>1.5949999999999998</v>
      </c>
      <c r="AU180" s="5">
        <f t="shared" si="272"/>
        <v>3.4491657579062176</v>
      </c>
      <c r="AV180" s="5"/>
      <c r="AW180" s="180">
        <f t="shared" si="273"/>
        <v>0.31620689655172401</v>
      </c>
      <c r="AX180" s="180">
        <f t="shared" si="233"/>
        <v>0.45849999999999985</v>
      </c>
      <c r="AY180" s="180">
        <f t="shared" si="234"/>
        <v>0.19830000000000003</v>
      </c>
      <c r="AZ180" s="180">
        <f t="shared" si="238"/>
        <v>2.3121533030761463</v>
      </c>
      <c r="BD180" s="180">
        <f t="shared" si="239"/>
        <v>9.4150588597912269E-2</v>
      </c>
      <c r="BE180" s="180">
        <f t="shared" si="235"/>
        <v>0.27690431560378398</v>
      </c>
      <c r="BG180" s="547">
        <f t="shared" si="274"/>
        <v>3.1025166666666646E-3</v>
      </c>
      <c r="BH180" s="547">
        <f t="shared" si="275"/>
        <v>1.3280689655172411E-2</v>
      </c>
      <c r="BI180" s="547">
        <f t="shared" si="276"/>
        <v>2.4781104745432918E-3</v>
      </c>
      <c r="BJ180" s="547">
        <f t="shared" si="277"/>
        <v>6.0827848394768109E-3</v>
      </c>
      <c r="BK180">
        <f t="shared" si="278"/>
        <v>2.8999999999999998E-3</v>
      </c>
      <c r="BL180" s="473">
        <f t="shared" si="279"/>
        <v>27.844101635859182</v>
      </c>
      <c r="BM180" s="547">
        <f t="shared" si="280"/>
        <v>2.4499999999999997E-2</v>
      </c>
      <c r="BP180" s="473">
        <f t="shared" si="281"/>
        <v>24.499999999999996</v>
      </c>
      <c r="BQ180" s="547">
        <f t="shared" si="282"/>
        <v>9.7507666666666606E-4</v>
      </c>
      <c r="BR180" s="547">
        <f t="shared" si="283"/>
        <v>2.6836600000000005E-3</v>
      </c>
      <c r="BS180" s="547">
        <f t="shared" si="284"/>
        <v>1.2531170094928388E-3</v>
      </c>
      <c r="BT180" s="547">
        <f t="shared" si="285"/>
        <v>1.667272727272727E-2</v>
      </c>
      <c r="BU180" s="473">
        <f t="shared" si="286"/>
        <v>21.584580948886774</v>
      </c>
      <c r="BV180" s="180">
        <f t="shared" si="287"/>
        <v>7.3928682584745942E-2</v>
      </c>
      <c r="BW180" s="5">
        <f t="shared" si="288"/>
        <v>0.44099999999999995</v>
      </c>
      <c r="BX180" s="180">
        <f t="shared" si="289"/>
        <v>0.85642927829606985</v>
      </c>
      <c r="BY180" s="5">
        <f t="shared" si="290"/>
        <v>85.64292782960699</v>
      </c>
      <c r="CB180" s="582">
        <f t="shared" si="319"/>
        <v>-50</v>
      </c>
      <c r="CC180">
        <f t="shared" si="320"/>
        <v>-50</v>
      </c>
    </row>
    <row r="181" spans="5:81" x14ac:dyDescent="0.25">
      <c r="E181" s="177">
        <v>71</v>
      </c>
      <c r="F181" s="224">
        <f t="shared" si="321"/>
        <v>7.0999999999999994E-2</v>
      </c>
      <c r="G181" s="224"/>
      <c r="H181" s="224">
        <f t="shared" si="291"/>
        <v>0.44729999999999992</v>
      </c>
      <c r="I181" s="560">
        <f t="shared" si="292"/>
        <v>10</v>
      </c>
      <c r="J181" s="455">
        <f t="shared" si="293"/>
        <v>13.1</v>
      </c>
      <c r="K181" s="455">
        <f t="shared" si="294"/>
        <v>23.1</v>
      </c>
      <c r="L181" s="455"/>
      <c r="M181" s="224">
        <f t="shared" si="295"/>
        <v>0.5670995670995671</v>
      </c>
      <c r="N181" s="179">
        <f t="shared" si="296"/>
        <v>3.7003246753246755</v>
      </c>
      <c r="O181" s="179">
        <f t="shared" si="236"/>
        <v>0.44729999999999992</v>
      </c>
      <c r="P181" s="224">
        <f t="shared" si="297"/>
        <v>0.58735312306740883</v>
      </c>
      <c r="Q181" s="224">
        <f t="shared" si="298"/>
        <v>6.3</v>
      </c>
      <c r="R181" s="224"/>
      <c r="S181" s="179">
        <f t="shared" si="299"/>
        <v>86.91574894585419</v>
      </c>
      <c r="T181" s="555">
        <f t="shared" si="300"/>
        <v>6.3</v>
      </c>
      <c r="U181" s="224">
        <f t="shared" si="301"/>
        <v>0.1752778625954198</v>
      </c>
      <c r="V181" s="224">
        <f t="shared" si="302"/>
        <v>0.96402824427480904</v>
      </c>
      <c r="W181" s="224">
        <f t="shared" si="303"/>
        <v>0.73589942311054124</v>
      </c>
      <c r="X181" s="204">
        <f t="shared" si="304"/>
        <v>350</v>
      </c>
      <c r="Y181" s="455">
        <f t="shared" si="271"/>
        <v>350</v>
      </c>
      <c r="AA181" s="224">
        <f t="shared" si="305"/>
        <v>0.29459717771406085</v>
      </c>
      <c r="AB181" s="180">
        <f t="shared" si="306"/>
        <v>1.2368583797155226</v>
      </c>
      <c r="AC181" s="180">
        <f t="shared" si="307"/>
        <v>0.1275312457636627</v>
      </c>
      <c r="AD181" s="180"/>
      <c r="AE181" s="180">
        <f t="shared" si="308"/>
        <v>1.217557251908397</v>
      </c>
      <c r="AF181" s="564">
        <f t="shared" si="309"/>
        <v>201.08096422008427</v>
      </c>
      <c r="AG181" s="547">
        <f t="shared" si="310"/>
        <v>0.1235820610687023</v>
      </c>
      <c r="AI181" s="180">
        <f t="shared" si="311"/>
        <v>0.21981101682327733</v>
      </c>
      <c r="AJ181" s="180">
        <f t="shared" si="312"/>
        <v>0.28999999999999998</v>
      </c>
      <c r="AK181" s="180">
        <f t="shared" si="313"/>
        <v>1.1149034081257625</v>
      </c>
      <c r="AM181" s="564">
        <f t="shared" si="314"/>
        <v>71</v>
      </c>
      <c r="AN181" s="473">
        <f t="shared" si="315"/>
        <v>201.08096422008427</v>
      </c>
      <c r="AP181">
        <f t="shared" si="316"/>
        <v>71</v>
      </c>
      <c r="AQ181">
        <f t="shared" si="317"/>
        <v>201.08096422008427</v>
      </c>
      <c r="AS181" s="5">
        <f t="shared" si="237"/>
        <v>4.9731211697666922</v>
      </c>
      <c r="AT181" s="5">
        <f t="shared" si="318"/>
        <v>1.5949999999999998</v>
      </c>
      <c r="AU181" s="5">
        <f t="shared" si="272"/>
        <v>3.3781211697666924</v>
      </c>
      <c r="AV181" s="5"/>
      <c r="AW181" s="180">
        <f t="shared" si="273"/>
        <v>0.32072413793103438</v>
      </c>
      <c r="AX181" s="180">
        <f t="shared" si="233"/>
        <v>0.46504999999999991</v>
      </c>
      <c r="AY181" s="180">
        <f t="shared" si="234"/>
        <v>0.19699000000000003</v>
      </c>
      <c r="AZ181" s="180">
        <f t="shared" si="238"/>
        <v>2.3607797350119286</v>
      </c>
      <c r="BD181" s="180">
        <f t="shared" si="239"/>
        <v>9.4820708005512497E-2</v>
      </c>
      <c r="BE181" s="180">
        <f t="shared" si="235"/>
        <v>0.27598816399741977</v>
      </c>
      <c r="BG181" s="547">
        <f t="shared" si="274"/>
        <v>3.1468383333333317E-3</v>
      </c>
      <c r="BH181" s="547">
        <f t="shared" si="275"/>
        <v>1.3470413793103445E-2</v>
      </c>
      <c r="BI181" s="547">
        <f t="shared" si="276"/>
        <v>2.5135120527510534E-3</v>
      </c>
      <c r="BJ181" s="547">
        <f t="shared" si="277"/>
        <v>6.1696817657550512E-3</v>
      </c>
      <c r="BK181">
        <f t="shared" si="278"/>
        <v>2.8999999999999998E-3</v>
      </c>
      <c r="BL181" s="473">
        <f t="shared" si="279"/>
        <v>28.200445944942878</v>
      </c>
      <c r="BM181" s="547">
        <f t="shared" si="280"/>
        <v>2.4849999999999997E-2</v>
      </c>
      <c r="BP181" s="473">
        <f t="shared" si="281"/>
        <v>24.849999999999998</v>
      </c>
      <c r="BQ181" s="547">
        <f t="shared" si="282"/>
        <v>9.890063333333329E-4</v>
      </c>
      <c r="BR181" s="547">
        <f t="shared" si="283"/>
        <v>2.6659313333333339E-3</v>
      </c>
      <c r="BS181" s="547">
        <f t="shared" si="284"/>
        <v>1.2983518371212453E-3</v>
      </c>
      <c r="BT181" s="547">
        <f t="shared" si="285"/>
        <v>1.6910909090909088E-2</v>
      </c>
      <c r="BU181" s="473">
        <f t="shared" si="286"/>
        <v>21.864198594697001</v>
      </c>
      <c r="BV181" s="180">
        <f t="shared" si="287"/>
        <v>7.4914644539639877E-2</v>
      </c>
      <c r="BW181" s="5">
        <f t="shared" si="288"/>
        <v>0.44729999999999992</v>
      </c>
      <c r="BX181" s="180">
        <f t="shared" si="289"/>
        <v>0.85654434374263633</v>
      </c>
      <c r="BY181" s="5">
        <f t="shared" si="290"/>
        <v>85.65443437426363</v>
      </c>
      <c r="CB181" s="582">
        <f t="shared" si="319"/>
        <v>-50</v>
      </c>
      <c r="CC181">
        <f t="shared" si="320"/>
        <v>-50</v>
      </c>
    </row>
    <row r="182" spans="5:81" x14ac:dyDescent="0.25">
      <c r="E182" s="177">
        <v>72</v>
      </c>
      <c r="F182" s="224">
        <f t="shared" si="321"/>
        <v>7.1999999999999995E-2</v>
      </c>
      <c r="G182" s="224"/>
      <c r="H182" s="224">
        <f t="shared" si="291"/>
        <v>0.45359999999999995</v>
      </c>
      <c r="I182" s="560">
        <f t="shared" si="292"/>
        <v>10</v>
      </c>
      <c r="J182" s="455">
        <f t="shared" si="293"/>
        <v>13.1</v>
      </c>
      <c r="K182" s="455">
        <f t="shared" si="294"/>
        <v>23.1</v>
      </c>
      <c r="L182" s="455"/>
      <c r="M182" s="224">
        <f t="shared" si="295"/>
        <v>0.5670995670995671</v>
      </c>
      <c r="N182" s="179">
        <f t="shared" si="296"/>
        <v>3.7003246753246755</v>
      </c>
      <c r="O182" s="179">
        <f t="shared" si="236"/>
        <v>0.45359999999999995</v>
      </c>
      <c r="P182" s="224">
        <f t="shared" si="297"/>
        <v>0.58735312306740883</v>
      </c>
      <c r="Q182" s="224">
        <f t="shared" si="298"/>
        <v>6.3</v>
      </c>
      <c r="R182" s="224"/>
      <c r="S182" s="179">
        <f t="shared" si="299"/>
        <v>85.639553574305396</v>
      </c>
      <c r="T182" s="555">
        <f t="shared" si="300"/>
        <v>6.3</v>
      </c>
      <c r="U182" s="224">
        <f t="shared" si="301"/>
        <v>0.17774656488549617</v>
      </c>
      <c r="V182" s="224">
        <f t="shared" si="302"/>
        <v>0.97760610687022909</v>
      </c>
      <c r="W182" s="224">
        <f t="shared" si="303"/>
        <v>0.74626420371773206</v>
      </c>
      <c r="X182" s="204">
        <f t="shared" si="304"/>
        <v>350</v>
      </c>
      <c r="Y182" s="455">
        <f t="shared" si="271"/>
        <v>350</v>
      </c>
      <c r="AA182" s="224">
        <f t="shared" si="305"/>
        <v>0.29459717771406085</v>
      </c>
      <c r="AB182" s="180">
        <f t="shared" si="306"/>
        <v>1.2368583797155226</v>
      </c>
      <c r="AC182" s="180">
        <f t="shared" si="307"/>
        <v>0.1275312457636627</v>
      </c>
      <c r="AD182" s="180"/>
      <c r="AE182" s="180">
        <f t="shared" si="308"/>
        <v>1.217557251908397</v>
      </c>
      <c r="AF182" s="564">
        <f t="shared" si="309"/>
        <v>203.91309047670518</v>
      </c>
      <c r="AG182" s="547">
        <f t="shared" si="310"/>
        <v>0.1235820610687023</v>
      </c>
      <c r="AI182" s="180">
        <f t="shared" si="311"/>
        <v>0.22135356919960109</v>
      </c>
      <c r="AJ182" s="180">
        <f t="shared" si="312"/>
        <v>0.28999999999999998</v>
      </c>
      <c r="AK182" s="180">
        <f t="shared" si="313"/>
        <v>1.1165217659866886</v>
      </c>
      <c r="AM182" s="564">
        <f t="shared" si="314"/>
        <v>72</v>
      </c>
      <c r="AN182" s="473">
        <f t="shared" si="315"/>
        <v>203.91309047670518</v>
      </c>
      <c r="AP182">
        <f t="shared" si="316"/>
        <v>72</v>
      </c>
      <c r="AQ182">
        <f t="shared" si="317"/>
        <v>203.91309047670518</v>
      </c>
      <c r="AS182" s="5">
        <f t="shared" si="237"/>
        <v>4.904050042408822</v>
      </c>
      <c r="AT182" s="5">
        <f t="shared" si="318"/>
        <v>1.5949999999999998</v>
      </c>
      <c r="AU182" s="5">
        <f t="shared" si="272"/>
        <v>3.3090500424088223</v>
      </c>
      <c r="AV182" s="5"/>
      <c r="AW182" s="180">
        <f t="shared" si="273"/>
        <v>0.32524137931034469</v>
      </c>
      <c r="AX182" s="180">
        <f t="shared" si="233"/>
        <v>0.47159999999999991</v>
      </c>
      <c r="AY182" s="180">
        <f t="shared" si="234"/>
        <v>0.19568000000000002</v>
      </c>
      <c r="AZ182" s="180">
        <f t="shared" si="238"/>
        <v>2.4100572363041692</v>
      </c>
      <c r="BD182" s="180">
        <f t="shared" si="239"/>
        <v>9.5486124646463652E-2</v>
      </c>
      <c r="BE182" s="180">
        <f t="shared" si="235"/>
        <v>0.27506896105037615</v>
      </c>
      <c r="BG182" s="547">
        <f t="shared" si="274"/>
        <v>3.1911599999999976E-3</v>
      </c>
      <c r="BH182" s="547">
        <f t="shared" si="275"/>
        <v>1.3660137931034481E-2</v>
      </c>
      <c r="BI182" s="547">
        <f t="shared" si="276"/>
        <v>2.5489136309588146E-3</v>
      </c>
      <c r="BJ182" s="547">
        <f t="shared" si="277"/>
        <v>6.2565786920332914E-3</v>
      </c>
      <c r="BK182">
        <f t="shared" si="278"/>
        <v>2.8999999999999998E-3</v>
      </c>
      <c r="BL182" s="473">
        <f t="shared" si="279"/>
        <v>28.556790254026584</v>
      </c>
      <c r="BM182" s="547">
        <f t="shared" si="280"/>
        <v>2.5199999999999997E-2</v>
      </c>
      <c r="BP182" s="473">
        <f t="shared" si="281"/>
        <v>25.199999999999996</v>
      </c>
      <c r="BQ182" s="547">
        <f t="shared" si="282"/>
        <v>1.0029359999999992E-3</v>
      </c>
      <c r="BR182" s="547">
        <f t="shared" si="283"/>
        <v>2.6482026666666673E-3</v>
      </c>
      <c r="BS182" s="547">
        <f t="shared" si="284"/>
        <v>1.3445525047153268E-3</v>
      </c>
      <c r="BT182" s="547">
        <f t="shared" si="285"/>
        <v>1.7149090909090905E-2</v>
      </c>
      <c r="BU182" s="473">
        <f t="shared" si="286"/>
        <v>22.144782080472897</v>
      </c>
      <c r="BV182" s="180">
        <f t="shared" si="287"/>
        <v>7.590157233449947E-2</v>
      </c>
      <c r="BW182" s="5">
        <f t="shared" si="288"/>
        <v>0.45359999999999995</v>
      </c>
      <c r="BX182" s="180">
        <f t="shared" si="289"/>
        <v>0.85665467998544376</v>
      </c>
      <c r="BY182" s="5">
        <f t="shared" si="290"/>
        <v>85.665467998544372</v>
      </c>
      <c r="CB182" s="582">
        <f t="shared" si="319"/>
        <v>-50</v>
      </c>
      <c r="CC182">
        <f t="shared" si="320"/>
        <v>-50</v>
      </c>
    </row>
    <row r="183" spans="5:81" x14ac:dyDescent="0.25">
      <c r="E183" s="177">
        <v>73</v>
      </c>
      <c r="F183" s="224">
        <f t="shared" si="321"/>
        <v>7.2999999999999995E-2</v>
      </c>
      <c r="G183" s="224"/>
      <c r="H183" s="224">
        <f t="shared" si="291"/>
        <v>0.45989999999999998</v>
      </c>
      <c r="I183" s="560">
        <f t="shared" si="292"/>
        <v>10</v>
      </c>
      <c r="J183" s="455">
        <f t="shared" si="293"/>
        <v>13.1</v>
      </c>
      <c r="K183" s="455">
        <f t="shared" si="294"/>
        <v>23.1</v>
      </c>
      <c r="L183" s="455"/>
      <c r="M183" s="224">
        <f t="shared" si="295"/>
        <v>0.5670995670995671</v>
      </c>
      <c r="N183" s="179">
        <f t="shared" si="296"/>
        <v>3.7003246753246755</v>
      </c>
      <c r="O183" s="179">
        <f t="shared" si="236"/>
        <v>0.45989999999999998</v>
      </c>
      <c r="P183" s="224">
        <f t="shared" si="297"/>
        <v>0.58735312306740883</v>
      </c>
      <c r="Q183" s="224">
        <f t="shared" si="298"/>
        <v>6.3</v>
      </c>
      <c r="R183" s="224"/>
      <c r="S183" s="179">
        <f t="shared" si="299"/>
        <v>84.398328621758893</v>
      </c>
      <c r="T183" s="555">
        <f t="shared" si="300"/>
        <v>6.3</v>
      </c>
      <c r="U183" s="224">
        <f t="shared" si="301"/>
        <v>0.18021526717557251</v>
      </c>
      <c r="V183" s="224">
        <f t="shared" si="302"/>
        <v>0.99118396946564891</v>
      </c>
      <c r="W183" s="224">
        <f t="shared" si="303"/>
        <v>0.75662898432492287</v>
      </c>
      <c r="X183" s="204">
        <f t="shared" si="304"/>
        <v>350</v>
      </c>
      <c r="Y183" s="455">
        <f t="shared" si="271"/>
        <v>350</v>
      </c>
      <c r="AA183" s="224">
        <f t="shared" si="305"/>
        <v>0.29459717771406085</v>
      </c>
      <c r="AB183" s="180">
        <f t="shared" si="306"/>
        <v>1.2368583797155226</v>
      </c>
      <c r="AC183" s="180">
        <f t="shared" si="307"/>
        <v>0.1275312457636627</v>
      </c>
      <c r="AD183" s="180"/>
      <c r="AE183" s="180">
        <f t="shared" si="308"/>
        <v>1.217557251908397</v>
      </c>
      <c r="AF183" s="564">
        <f t="shared" si="309"/>
        <v>206.74521673332609</v>
      </c>
      <c r="AG183" s="547">
        <f t="shared" si="310"/>
        <v>0.1235820610687023</v>
      </c>
      <c r="AI183" s="180">
        <f t="shared" si="311"/>
        <v>0.22288544608816896</v>
      </c>
      <c r="AJ183" s="180">
        <f t="shared" si="312"/>
        <v>0.28999999999999998</v>
      </c>
      <c r="AK183" s="180">
        <f t="shared" si="313"/>
        <v>1.118140123847615</v>
      </c>
      <c r="AM183" s="564">
        <f t="shared" si="314"/>
        <v>73</v>
      </c>
      <c r="AN183" s="473">
        <f t="shared" si="315"/>
        <v>206.74521673332609</v>
      </c>
      <c r="AP183">
        <f t="shared" si="316"/>
        <v>73</v>
      </c>
      <c r="AQ183">
        <f t="shared" si="317"/>
        <v>206.74521673332609</v>
      </c>
      <c r="AS183" s="5">
        <f t="shared" si="237"/>
        <v>4.836871274704591</v>
      </c>
      <c r="AT183" s="5">
        <f t="shared" si="318"/>
        <v>1.5949999999999998</v>
      </c>
      <c r="AU183" s="5">
        <f t="shared" si="272"/>
        <v>3.2418712747045912</v>
      </c>
      <c r="AV183" s="5"/>
      <c r="AW183" s="180">
        <f t="shared" si="273"/>
        <v>0.32975862068965511</v>
      </c>
      <c r="AX183" s="180">
        <f t="shared" si="233"/>
        <v>0.47814999999999996</v>
      </c>
      <c r="AY183" s="180">
        <f t="shared" si="234"/>
        <v>0.19437000000000001</v>
      </c>
      <c r="AZ183" s="180">
        <f t="shared" si="238"/>
        <v>2.4599989710346244</v>
      </c>
      <c r="BD183" s="180">
        <f t="shared" si="239"/>
        <v>9.6146936161966859E-2</v>
      </c>
      <c r="BE183" s="180">
        <f t="shared" si="235"/>
        <v>0.27414667606958137</v>
      </c>
      <c r="BG183" s="547">
        <f t="shared" si="274"/>
        <v>3.2354816666666656E-3</v>
      </c>
      <c r="BH183" s="547">
        <f t="shared" si="275"/>
        <v>1.3849862068965515E-2</v>
      </c>
      <c r="BI183" s="547">
        <f t="shared" si="276"/>
        <v>2.5843152091665758E-3</v>
      </c>
      <c r="BJ183" s="547">
        <f t="shared" si="277"/>
        <v>6.3434756183115325E-3</v>
      </c>
      <c r="BK183">
        <f t="shared" si="278"/>
        <v>2.8999999999999998E-3</v>
      </c>
      <c r="BL183" s="473">
        <f t="shared" si="279"/>
        <v>28.913134563110287</v>
      </c>
      <c r="BM183" s="547">
        <f t="shared" si="280"/>
        <v>2.5549999999999996E-2</v>
      </c>
      <c r="BP183" s="473">
        <f t="shared" si="281"/>
        <v>25.549999999999997</v>
      </c>
      <c r="BQ183" s="547">
        <f t="shared" si="282"/>
        <v>1.0168656666666664E-3</v>
      </c>
      <c r="BR183" s="547">
        <f t="shared" si="283"/>
        <v>2.6304739999999998E-3</v>
      </c>
      <c r="BS183" s="547">
        <f t="shared" si="284"/>
        <v>1.3917257902934424E-3</v>
      </c>
      <c r="BT183" s="547">
        <f t="shared" si="285"/>
        <v>1.7387272727272727E-2</v>
      </c>
      <c r="BU183" s="473">
        <f t="shared" si="286"/>
        <v>22.426338184232833</v>
      </c>
      <c r="BV183" s="180">
        <f t="shared" si="287"/>
        <v>7.6889472747343118E-2</v>
      </c>
      <c r="BW183" s="5">
        <f t="shared" si="288"/>
        <v>0.45989999999999998</v>
      </c>
      <c r="BX183" s="180">
        <f t="shared" si="289"/>
        <v>0.85676046820774077</v>
      </c>
      <c r="BY183" s="5">
        <f t="shared" si="290"/>
        <v>85.676046820774076</v>
      </c>
      <c r="CB183" s="582">
        <f t="shared" si="319"/>
        <v>-50</v>
      </c>
      <c r="CC183">
        <f t="shared" si="320"/>
        <v>-50</v>
      </c>
    </row>
    <row r="184" spans="5:81" x14ac:dyDescent="0.25">
      <c r="E184" s="177">
        <v>74</v>
      </c>
      <c r="F184" s="224">
        <f t="shared" si="321"/>
        <v>7.3999999999999996E-2</v>
      </c>
      <c r="G184" s="224"/>
      <c r="H184" s="224">
        <f t="shared" si="291"/>
        <v>0.46619999999999995</v>
      </c>
      <c r="I184" s="560">
        <f t="shared" si="292"/>
        <v>10</v>
      </c>
      <c r="J184" s="455">
        <f t="shared" si="293"/>
        <v>13.1</v>
      </c>
      <c r="K184" s="455">
        <f t="shared" si="294"/>
        <v>23.1</v>
      </c>
      <c r="L184" s="455"/>
      <c r="M184" s="224">
        <f t="shared" si="295"/>
        <v>0.5670995670995671</v>
      </c>
      <c r="N184" s="179">
        <f t="shared" si="296"/>
        <v>3.7003246753246755</v>
      </c>
      <c r="O184" s="179">
        <f t="shared" si="236"/>
        <v>0.46619999999999995</v>
      </c>
      <c r="P184" s="224">
        <f t="shared" si="297"/>
        <v>0.58735312306740883</v>
      </c>
      <c r="Q184" s="224">
        <f t="shared" si="298"/>
        <v>6.3</v>
      </c>
      <c r="R184" s="224"/>
      <c r="S184" s="179">
        <f t="shared" si="299"/>
        <v>83.190656382374257</v>
      </c>
      <c r="T184" s="555">
        <f t="shared" si="300"/>
        <v>6.3</v>
      </c>
      <c r="U184" s="224">
        <f t="shared" si="301"/>
        <v>0.18268396946564883</v>
      </c>
      <c r="V184" s="224">
        <f t="shared" si="302"/>
        <v>1.0047618320610687</v>
      </c>
      <c r="W184" s="224">
        <f t="shared" si="303"/>
        <v>0.76699376493211346</v>
      </c>
      <c r="X184" s="204">
        <f t="shared" si="304"/>
        <v>350</v>
      </c>
      <c r="Y184" s="455">
        <f t="shared" si="271"/>
        <v>350</v>
      </c>
      <c r="AA184" s="224">
        <f t="shared" si="305"/>
        <v>0.29459717771406085</v>
      </c>
      <c r="AB184" s="180">
        <f t="shared" si="306"/>
        <v>1.2368583797155226</v>
      </c>
      <c r="AC184" s="180">
        <f t="shared" si="307"/>
        <v>0.1275312457636627</v>
      </c>
      <c r="AD184" s="180"/>
      <c r="AE184" s="180">
        <f t="shared" si="308"/>
        <v>1.217557251908397</v>
      </c>
      <c r="AF184" s="564">
        <f t="shared" si="309"/>
        <v>209.577342989947</v>
      </c>
      <c r="AG184" s="547">
        <f t="shared" si="310"/>
        <v>0.1235820610687023</v>
      </c>
      <c r="AI184" s="180">
        <f t="shared" si="311"/>
        <v>0.22440686611251792</v>
      </c>
      <c r="AJ184" s="180">
        <f t="shared" si="312"/>
        <v>0.28999999999999998</v>
      </c>
      <c r="AK184" s="180">
        <f t="shared" si="313"/>
        <v>1.1197584817085411</v>
      </c>
      <c r="AM184" s="564">
        <f t="shared" si="314"/>
        <v>74</v>
      </c>
      <c r="AN184" s="473">
        <f t="shared" si="315"/>
        <v>209.577342989947</v>
      </c>
      <c r="AP184">
        <f t="shared" si="316"/>
        <v>74</v>
      </c>
      <c r="AQ184">
        <f t="shared" si="317"/>
        <v>209.577342989947</v>
      </c>
      <c r="AS184" s="5">
        <f t="shared" si="237"/>
        <v>4.7715081493707459</v>
      </c>
      <c r="AT184" s="5">
        <f t="shared" si="318"/>
        <v>1.5949999999999998</v>
      </c>
      <c r="AU184" s="5">
        <f t="shared" si="272"/>
        <v>3.1765081493707461</v>
      </c>
      <c r="AV184" s="5"/>
      <c r="AW184" s="180">
        <f t="shared" si="273"/>
        <v>0.33427586206896537</v>
      </c>
      <c r="AX184" s="180">
        <f t="shared" si="233"/>
        <v>0.48469999999999991</v>
      </c>
      <c r="AY184" s="180">
        <f t="shared" si="234"/>
        <v>0.19306000000000001</v>
      </c>
      <c r="AZ184" s="180">
        <f t="shared" si="238"/>
        <v>2.5106184605822017</v>
      </c>
      <c r="BD184" s="180">
        <f t="shared" si="239"/>
        <v>9.6803236860482422E-2</v>
      </c>
      <c r="BE184" s="180">
        <f t="shared" si="235"/>
        <v>0.27322127784392392</v>
      </c>
      <c r="BG184" s="547">
        <f t="shared" si="274"/>
        <v>3.2798033333333318E-3</v>
      </c>
      <c r="BH184" s="547">
        <f t="shared" si="275"/>
        <v>1.403958620689655E-2</v>
      </c>
      <c r="BI184" s="547">
        <f t="shared" si="276"/>
        <v>2.6197167873743374E-3</v>
      </c>
      <c r="BJ184" s="547">
        <f t="shared" si="277"/>
        <v>6.4303725445897728E-3</v>
      </c>
      <c r="BK184">
        <f t="shared" si="278"/>
        <v>2.8999999999999998E-3</v>
      </c>
      <c r="BL184" s="473">
        <f t="shared" si="279"/>
        <v>29.269478872193993</v>
      </c>
      <c r="BM184" s="547">
        <f t="shared" si="280"/>
        <v>2.5899999999999996E-2</v>
      </c>
      <c r="BP184" s="473">
        <f t="shared" si="281"/>
        <v>25.899999999999995</v>
      </c>
      <c r="BQ184" s="547">
        <f t="shared" si="282"/>
        <v>1.0307953333333329E-3</v>
      </c>
      <c r="BR184" s="547">
        <f t="shared" si="283"/>
        <v>2.6127453333333337E-3</v>
      </c>
      <c r="BS184" s="547">
        <f t="shared" si="284"/>
        <v>1.4398784249633108E-3</v>
      </c>
      <c r="BT184" s="547">
        <f t="shared" si="285"/>
        <v>1.7625454545454545E-2</v>
      </c>
      <c r="BU184" s="473">
        <f t="shared" si="286"/>
        <v>22.708873637084523</v>
      </c>
      <c r="BV184" s="180">
        <f t="shared" si="287"/>
        <v>7.787835250927852E-2</v>
      </c>
      <c r="BW184" s="5">
        <f t="shared" si="288"/>
        <v>0.46619999999999995</v>
      </c>
      <c r="BX184" s="180">
        <f t="shared" si="289"/>
        <v>0.85686188000293495</v>
      </c>
      <c r="BY184" s="5">
        <f t="shared" si="290"/>
        <v>85.686188000293498</v>
      </c>
      <c r="CB184" s="582">
        <f t="shared" si="319"/>
        <v>-50</v>
      </c>
      <c r="CC184">
        <f t="shared" si="320"/>
        <v>-50</v>
      </c>
    </row>
    <row r="185" spans="5:81" x14ac:dyDescent="0.25">
      <c r="E185" s="177">
        <v>75</v>
      </c>
      <c r="F185" s="224">
        <f t="shared" si="321"/>
        <v>7.5000000000000011E-2</v>
      </c>
      <c r="G185" s="224"/>
      <c r="H185" s="224">
        <f t="shared" si="291"/>
        <v>0.47250000000000003</v>
      </c>
      <c r="I185" s="560">
        <f t="shared" si="292"/>
        <v>10</v>
      </c>
      <c r="J185" s="455">
        <f t="shared" si="293"/>
        <v>13.1</v>
      </c>
      <c r="K185" s="455">
        <f t="shared" si="294"/>
        <v>23.1</v>
      </c>
      <c r="L185" s="455"/>
      <c r="M185" s="224">
        <f t="shared" si="295"/>
        <v>0.5670995670995671</v>
      </c>
      <c r="N185" s="179">
        <f t="shared" si="296"/>
        <v>3.7003246753246755</v>
      </c>
      <c r="O185" s="179">
        <f t="shared" si="236"/>
        <v>0.47250000000000003</v>
      </c>
      <c r="P185" s="224">
        <f t="shared" si="297"/>
        <v>0.58735312306740883</v>
      </c>
      <c r="Q185" s="224">
        <f t="shared" si="298"/>
        <v>6.3</v>
      </c>
      <c r="R185" s="224"/>
      <c r="S185" s="179">
        <f t="shared" si="299"/>
        <v>82.01519476132799</v>
      </c>
      <c r="T185" s="555">
        <f t="shared" si="300"/>
        <v>6.3</v>
      </c>
      <c r="U185" s="224">
        <f t="shared" si="301"/>
        <v>0.1851526717557252</v>
      </c>
      <c r="V185" s="224">
        <f t="shared" si="302"/>
        <v>1.0183396946564884</v>
      </c>
      <c r="W185" s="224">
        <f t="shared" si="303"/>
        <v>0.77735854553930428</v>
      </c>
      <c r="X185" s="204">
        <f t="shared" si="304"/>
        <v>350</v>
      </c>
      <c r="Y185" s="455">
        <f t="shared" si="271"/>
        <v>350</v>
      </c>
      <c r="AA185" s="224">
        <f t="shared" si="305"/>
        <v>0.29459717771406085</v>
      </c>
      <c r="AB185" s="180">
        <f t="shared" si="306"/>
        <v>1.2368583797155226</v>
      </c>
      <c r="AC185" s="180">
        <f t="shared" si="307"/>
        <v>0.1275312457636627</v>
      </c>
      <c r="AD185" s="180"/>
      <c r="AE185" s="180">
        <f t="shared" si="308"/>
        <v>1.217557251908397</v>
      </c>
      <c r="AF185" s="564">
        <f t="shared" si="309"/>
        <v>212.40946924656794</v>
      </c>
      <c r="AG185" s="547">
        <f t="shared" si="310"/>
        <v>0.1235820610687023</v>
      </c>
      <c r="AI185" s="180">
        <f t="shared" si="311"/>
        <v>0.22591804053452891</v>
      </c>
      <c r="AJ185" s="180">
        <f t="shared" si="312"/>
        <v>0.28999999999999998</v>
      </c>
      <c r="AK185" s="180">
        <f t="shared" si="313"/>
        <v>1.1213768395694674</v>
      </c>
      <c r="AM185" s="564">
        <f t="shared" si="314"/>
        <v>75.000000000000014</v>
      </c>
      <c r="AN185" s="473">
        <f t="shared" si="315"/>
        <v>212.40946924656794</v>
      </c>
      <c r="AP185">
        <f t="shared" si="316"/>
        <v>75.000000000000014</v>
      </c>
      <c r="AQ185">
        <f t="shared" si="317"/>
        <v>212.40946924656794</v>
      </c>
      <c r="AS185" s="5">
        <f t="shared" si="237"/>
        <v>4.7078880407124686</v>
      </c>
      <c r="AT185" s="5">
        <f t="shared" si="318"/>
        <v>1.5949999999999998</v>
      </c>
      <c r="AU185" s="5">
        <f t="shared" si="272"/>
        <v>3.1128880407124688</v>
      </c>
      <c r="AV185" s="5"/>
      <c r="AW185" s="180">
        <f t="shared" si="273"/>
        <v>0.33879310344827579</v>
      </c>
      <c r="AX185" s="180">
        <f t="shared" si="233"/>
        <v>0.49125000000000002</v>
      </c>
      <c r="AY185" s="180">
        <f t="shared" si="234"/>
        <v>0.19175</v>
      </c>
      <c r="AZ185" s="180">
        <f t="shared" si="238"/>
        <v>2.5619295958279009</v>
      </c>
      <c r="BD185" s="180">
        <f t="shared" si="239"/>
        <v>9.7455117874845329E-2</v>
      </c>
      <c r="BE185" s="180">
        <f t="shared" si="235"/>
        <v>0.27229273463192755</v>
      </c>
      <c r="BG185" s="547">
        <f t="shared" si="274"/>
        <v>3.324124999999999E-3</v>
      </c>
      <c r="BH185" s="547">
        <f t="shared" si="275"/>
        <v>1.4229310344827585E-2</v>
      </c>
      <c r="BI185" s="547">
        <f t="shared" si="276"/>
        <v>2.655118365582099E-3</v>
      </c>
      <c r="BJ185" s="547">
        <f t="shared" si="277"/>
        <v>6.5172694708680139E-3</v>
      </c>
      <c r="BK185">
        <f t="shared" si="278"/>
        <v>2.8999999999999998E-3</v>
      </c>
      <c r="BL185" s="473">
        <f t="shared" si="279"/>
        <v>29.625823181277692</v>
      </c>
      <c r="BM185" s="547">
        <f t="shared" si="280"/>
        <v>2.6250000000000002E-2</v>
      </c>
      <c r="BP185" s="473">
        <f t="shared" si="281"/>
        <v>26.250000000000004</v>
      </c>
      <c r="BQ185" s="547">
        <f t="shared" si="282"/>
        <v>1.0447249999999996E-3</v>
      </c>
      <c r="BR185" s="547">
        <f t="shared" si="283"/>
        <v>2.5950166666666662E-3</v>
      </c>
      <c r="BS185" s="547">
        <f t="shared" si="284"/>
        <v>1.4890170938827545E-3</v>
      </c>
      <c r="BT185" s="547">
        <f t="shared" si="285"/>
        <v>1.7863636363636366E-2</v>
      </c>
      <c r="BU185" s="473">
        <f t="shared" si="286"/>
        <v>22.992395124185787</v>
      </c>
      <c r="BV185" s="180">
        <f t="shared" si="287"/>
        <v>7.8868218305463478E-2</v>
      </c>
      <c r="BW185" s="5">
        <f t="shared" si="288"/>
        <v>0.47250000000000003</v>
      </c>
      <c r="BX185" s="180">
        <f t="shared" si="289"/>
        <v>0.85695907800443849</v>
      </c>
      <c r="BY185" s="5">
        <f t="shared" si="290"/>
        <v>85.695907800443848</v>
      </c>
      <c r="CB185" s="582">
        <f t="shared" si="319"/>
        <v>-50</v>
      </c>
      <c r="CC185">
        <f t="shared" si="320"/>
        <v>-50</v>
      </c>
    </row>
    <row r="186" spans="5:81" x14ac:dyDescent="0.25">
      <c r="E186" s="177">
        <v>76</v>
      </c>
      <c r="F186" s="224">
        <f t="shared" si="321"/>
        <v>7.6000000000000012E-2</v>
      </c>
      <c r="G186" s="224"/>
      <c r="H186" s="224">
        <f t="shared" si="291"/>
        <v>0.47880000000000006</v>
      </c>
      <c r="I186" s="560">
        <f t="shared" si="292"/>
        <v>10</v>
      </c>
      <c r="J186" s="455">
        <f t="shared" si="293"/>
        <v>13.1</v>
      </c>
      <c r="K186" s="455">
        <f t="shared" si="294"/>
        <v>23.1</v>
      </c>
      <c r="L186" s="455"/>
      <c r="M186" s="224">
        <f t="shared" si="295"/>
        <v>0.5670995670995671</v>
      </c>
      <c r="N186" s="179">
        <f t="shared" si="296"/>
        <v>3.7003246753246755</v>
      </c>
      <c r="O186" s="179">
        <f t="shared" si="236"/>
        <v>0.47880000000000006</v>
      </c>
      <c r="P186" s="224">
        <f t="shared" si="297"/>
        <v>0.58735312306740883</v>
      </c>
      <c r="Q186" s="224">
        <f t="shared" si="298"/>
        <v>6.3</v>
      </c>
      <c r="R186" s="224"/>
      <c r="S186" s="179">
        <f t="shared" si="299"/>
        <v>80.870672300404919</v>
      </c>
      <c r="T186" s="555">
        <f t="shared" si="300"/>
        <v>6.3</v>
      </c>
      <c r="U186" s="224">
        <f t="shared" si="301"/>
        <v>0.18762137404580154</v>
      </c>
      <c r="V186" s="224">
        <f t="shared" si="302"/>
        <v>1.0319175572519086</v>
      </c>
      <c r="W186" s="224">
        <f t="shared" si="303"/>
        <v>0.7877233261464951</v>
      </c>
      <c r="X186" s="204">
        <f t="shared" si="304"/>
        <v>350</v>
      </c>
      <c r="Y186" s="455">
        <f t="shared" si="271"/>
        <v>350</v>
      </c>
      <c r="AA186" s="224">
        <f t="shared" si="305"/>
        <v>0.29459717771406085</v>
      </c>
      <c r="AB186" s="180">
        <f t="shared" si="306"/>
        <v>1.2368583797155226</v>
      </c>
      <c r="AC186" s="180">
        <f t="shared" si="307"/>
        <v>0.1275312457636627</v>
      </c>
      <c r="AD186" s="180"/>
      <c r="AE186" s="180">
        <f t="shared" si="308"/>
        <v>1.217557251908397</v>
      </c>
      <c r="AF186" s="564">
        <f t="shared" si="309"/>
        <v>215.24159550318885</v>
      </c>
      <c r="AG186" s="547">
        <f t="shared" si="310"/>
        <v>0.1235820610687023</v>
      </c>
      <c r="AI186" s="180">
        <f t="shared" si="311"/>
        <v>0.22741917359686389</v>
      </c>
      <c r="AJ186" s="180">
        <f t="shared" si="312"/>
        <v>0.28999999999999998</v>
      </c>
      <c r="AK186" s="180">
        <f t="shared" si="313"/>
        <v>1.1229951974303936</v>
      </c>
      <c r="AM186" s="564">
        <f t="shared" si="314"/>
        <v>76.000000000000014</v>
      </c>
      <c r="AN186" s="473">
        <f t="shared" si="315"/>
        <v>215.24159550318885</v>
      </c>
      <c r="AP186">
        <f t="shared" si="316"/>
        <v>76.000000000000014</v>
      </c>
      <c r="AQ186">
        <f t="shared" si="317"/>
        <v>215.24159550318885</v>
      </c>
      <c r="AS186" s="5">
        <f t="shared" si="237"/>
        <v>4.6459421454399354</v>
      </c>
      <c r="AT186" s="5">
        <f t="shared" si="318"/>
        <v>1.5949999999999998</v>
      </c>
      <c r="AU186" s="5">
        <f t="shared" si="272"/>
        <v>3.0509421454399357</v>
      </c>
      <c r="AV186" s="5"/>
      <c r="AW186" s="180">
        <f t="shared" si="273"/>
        <v>0.34331034482758616</v>
      </c>
      <c r="AX186" s="180">
        <f t="shared" si="233"/>
        <v>0.49779999999999996</v>
      </c>
      <c r="AY186" s="180">
        <f t="shared" si="234"/>
        <v>0.19044</v>
      </c>
      <c r="AZ186" s="180">
        <f t="shared" si="238"/>
        <v>2.613946649863474</v>
      </c>
      <c r="BD186" s="180">
        <f t="shared" si="239"/>
        <v>9.810266730998364E-2</v>
      </c>
      <c r="BE186" s="180">
        <f t="shared" si="235"/>
        <v>0.27136101414904829</v>
      </c>
      <c r="BG186" s="547">
        <f t="shared" si="274"/>
        <v>3.3684466666666665E-3</v>
      </c>
      <c r="BH186" s="547">
        <f t="shared" si="275"/>
        <v>1.441903448275862E-2</v>
      </c>
      <c r="BI186" s="547">
        <f t="shared" si="276"/>
        <v>2.6905199437898602E-3</v>
      </c>
      <c r="BJ186" s="547">
        <f t="shared" si="277"/>
        <v>6.6041663971462541E-3</v>
      </c>
      <c r="BK186">
        <f t="shared" si="278"/>
        <v>2.8999999999999998E-3</v>
      </c>
      <c r="BL186" s="473">
        <f t="shared" si="279"/>
        <v>29.982167490361402</v>
      </c>
      <c r="BM186" s="547">
        <f t="shared" si="280"/>
        <v>2.6600000000000002E-2</v>
      </c>
      <c r="BP186" s="473">
        <f t="shared" si="281"/>
        <v>26.6</v>
      </c>
      <c r="BQ186" s="547">
        <f t="shared" si="282"/>
        <v>1.0586546666666666E-3</v>
      </c>
      <c r="BR186" s="547">
        <f t="shared" si="283"/>
        <v>2.5772879999999996E-3</v>
      </c>
      <c r="BS186" s="547">
        <f t="shared" si="284"/>
        <v>1.5391484371881157E-3</v>
      </c>
      <c r="BT186" s="547">
        <f t="shared" si="285"/>
        <v>1.8101818181818184E-2</v>
      </c>
      <c r="BU186" s="473">
        <f t="shared" si="286"/>
        <v>23.276909285672968</v>
      </c>
      <c r="BV186" s="180">
        <f t="shared" si="287"/>
        <v>7.9859076776034377E-2</v>
      </c>
      <c r="BW186" s="5">
        <f t="shared" si="288"/>
        <v>0.47880000000000006</v>
      </c>
      <c r="BX186" s="180">
        <f t="shared" si="289"/>
        <v>0.85705221646644836</v>
      </c>
      <c r="BY186" s="5">
        <f t="shared" si="290"/>
        <v>85.70522164664483</v>
      </c>
      <c r="CB186" s="582">
        <f t="shared" si="319"/>
        <v>-50</v>
      </c>
      <c r="CC186">
        <f t="shared" si="320"/>
        <v>-50</v>
      </c>
    </row>
    <row r="187" spans="5:81" x14ac:dyDescent="0.25">
      <c r="E187" s="177">
        <v>77</v>
      </c>
      <c r="F187" s="224">
        <f t="shared" si="321"/>
        <v>7.7000000000000013E-2</v>
      </c>
      <c r="G187" s="224"/>
      <c r="H187" s="224">
        <f t="shared" si="291"/>
        <v>0.48510000000000009</v>
      </c>
      <c r="I187" s="560">
        <f t="shared" si="292"/>
        <v>10</v>
      </c>
      <c r="J187" s="455">
        <f t="shared" si="293"/>
        <v>13.1</v>
      </c>
      <c r="K187" s="455">
        <f t="shared" si="294"/>
        <v>23.1</v>
      </c>
      <c r="L187" s="455"/>
      <c r="M187" s="224">
        <f t="shared" si="295"/>
        <v>0.5670995670995671</v>
      </c>
      <c r="N187" s="179">
        <f t="shared" si="296"/>
        <v>3.7003246753246755</v>
      </c>
      <c r="O187" s="179">
        <f t="shared" si="236"/>
        <v>0.48510000000000009</v>
      </c>
      <c r="P187" s="224">
        <f t="shared" si="297"/>
        <v>0.58735312306740883</v>
      </c>
      <c r="Q187" s="224">
        <f t="shared" si="298"/>
        <v>6.3</v>
      </c>
      <c r="R187" s="224"/>
      <c r="S187" s="179">
        <f t="shared" si="299"/>
        <v>79.755883591205333</v>
      </c>
      <c r="T187" s="555">
        <f t="shared" si="300"/>
        <v>6.3</v>
      </c>
      <c r="U187" s="224">
        <f t="shared" si="301"/>
        <v>0.19009007633587791</v>
      </c>
      <c r="V187" s="224">
        <f t="shared" si="302"/>
        <v>1.0454954198473285</v>
      </c>
      <c r="W187" s="224">
        <f t="shared" si="303"/>
        <v>0.79808810675368602</v>
      </c>
      <c r="X187" s="204">
        <f t="shared" si="304"/>
        <v>350</v>
      </c>
      <c r="Y187" s="455">
        <f t="shared" si="271"/>
        <v>350</v>
      </c>
      <c r="AA187" s="224">
        <f t="shared" si="305"/>
        <v>0.29459717771406085</v>
      </c>
      <c r="AB187" s="180">
        <f t="shared" si="306"/>
        <v>1.2368583797155226</v>
      </c>
      <c r="AC187" s="180">
        <f t="shared" si="307"/>
        <v>0.1275312457636627</v>
      </c>
      <c r="AD187" s="180"/>
      <c r="AE187" s="180">
        <f t="shared" si="308"/>
        <v>1.217557251908397</v>
      </c>
      <c r="AF187" s="564">
        <f t="shared" si="309"/>
        <v>218.07372175980976</v>
      </c>
      <c r="AG187" s="547">
        <f t="shared" si="310"/>
        <v>0.1235820610687023</v>
      </c>
      <c r="AI187" s="180">
        <f t="shared" si="311"/>
        <v>0.22891046284519195</v>
      </c>
      <c r="AJ187" s="180">
        <f t="shared" si="312"/>
        <v>0.28999999999999998</v>
      </c>
      <c r="AK187" s="180">
        <f t="shared" si="313"/>
        <v>1.1246135552913199</v>
      </c>
      <c r="AM187" s="564">
        <f t="shared" si="314"/>
        <v>77.000000000000014</v>
      </c>
      <c r="AN187" s="473">
        <f t="shared" si="315"/>
        <v>218.07372175980976</v>
      </c>
      <c r="AP187">
        <f t="shared" si="316"/>
        <v>77.000000000000014</v>
      </c>
      <c r="AQ187">
        <f t="shared" si="317"/>
        <v>218.07372175980976</v>
      </c>
      <c r="AS187" s="5">
        <f t="shared" si="237"/>
        <v>4.5856052344601963</v>
      </c>
      <c r="AT187" s="5">
        <f t="shared" si="318"/>
        <v>1.5949999999999998</v>
      </c>
      <c r="AU187" s="5">
        <f t="shared" si="272"/>
        <v>2.9906052344601965</v>
      </c>
      <c r="AV187" s="5"/>
      <c r="AW187" s="180">
        <f t="shared" si="273"/>
        <v>0.34782758620689652</v>
      </c>
      <c r="AX187" s="180">
        <f t="shared" si="233"/>
        <v>0.50434999999999997</v>
      </c>
      <c r="AY187" s="180">
        <f t="shared" si="234"/>
        <v>0.18913000000000002</v>
      </c>
      <c r="AZ187" s="180">
        <f t="shared" si="238"/>
        <v>2.6666842912282553</v>
      </c>
      <c r="BD187" s="180">
        <f t="shared" si="239"/>
        <v>9.8745970381918194E-2</v>
      </c>
      <c r="BE187" s="180">
        <f t="shared" si="235"/>
        <v>0.27042608355457626</v>
      </c>
      <c r="BG187" s="547">
        <f t="shared" si="274"/>
        <v>3.4127683333333328E-3</v>
      </c>
      <c r="BH187" s="547">
        <f t="shared" si="275"/>
        <v>1.4608758620689655E-2</v>
      </c>
      <c r="BI187" s="547">
        <f t="shared" si="276"/>
        <v>2.7259215219976218E-3</v>
      </c>
      <c r="BJ187" s="547">
        <f t="shared" si="277"/>
        <v>6.6910633234244943E-3</v>
      </c>
      <c r="BK187">
        <f t="shared" si="278"/>
        <v>2.8999999999999998E-3</v>
      </c>
      <c r="BL187" s="473">
        <f t="shared" si="279"/>
        <v>30.338511799445104</v>
      </c>
      <c r="BM187" s="547">
        <f t="shared" si="280"/>
        <v>2.6950000000000002E-2</v>
      </c>
      <c r="BP187" s="473">
        <f t="shared" si="281"/>
        <v>26.950000000000003</v>
      </c>
      <c r="BQ187" s="547">
        <f t="shared" si="282"/>
        <v>1.0725843333333333E-3</v>
      </c>
      <c r="BR187" s="547">
        <f t="shared" si="283"/>
        <v>2.5595593333333335E-3</v>
      </c>
      <c r="BS187" s="547">
        <f t="shared" si="284"/>
        <v>1.5902790508918172E-3</v>
      </c>
      <c r="BT187" s="547">
        <f t="shared" si="285"/>
        <v>1.8340000000000002E-2</v>
      </c>
      <c r="BU187" s="473">
        <f t="shared" si="286"/>
        <v>23.562422717558483</v>
      </c>
      <c r="BV187" s="180">
        <f t="shared" si="287"/>
        <v>8.0850934517003592E-2</v>
      </c>
      <c r="BW187" s="5">
        <f t="shared" si="288"/>
        <v>0.48510000000000009</v>
      </c>
      <c r="BX187" s="180">
        <f t="shared" si="289"/>
        <v>0.85714144180006735</v>
      </c>
      <c r="BY187" s="5">
        <f t="shared" si="290"/>
        <v>85.714144180006741</v>
      </c>
      <c r="CB187" s="582">
        <f t="shared" si="319"/>
        <v>-50</v>
      </c>
      <c r="CC187">
        <f t="shared" si="320"/>
        <v>-50</v>
      </c>
    </row>
    <row r="188" spans="5:81" x14ac:dyDescent="0.25">
      <c r="E188" s="177">
        <v>78</v>
      </c>
      <c r="F188" s="224">
        <f t="shared" si="321"/>
        <v>7.8000000000000014E-2</v>
      </c>
      <c r="G188" s="224"/>
      <c r="H188" s="224">
        <f t="shared" si="291"/>
        <v>0.49140000000000006</v>
      </c>
      <c r="I188" s="560">
        <f t="shared" si="292"/>
        <v>10</v>
      </c>
      <c r="J188" s="455">
        <f t="shared" si="293"/>
        <v>13.1</v>
      </c>
      <c r="K188" s="455">
        <f t="shared" si="294"/>
        <v>23.1</v>
      </c>
      <c r="L188" s="455"/>
      <c r="M188" s="224">
        <f t="shared" si="295"/>
        <v>0.5670995670995671</v>
      </c>
      <c r="N188" s="179">
        <f t="shared" si="296"/>
        <v>3.7003246753246755</v>
      </c>
      <c r="O188" s="179">
        <f t="shared" si="236"/>
        <v>0.49140000000000006</v>
      </c>
      <c r="P188" s="224">
        <f t="shared" si="297"/>
        <v>0.58735312306740883</v>
      </c>
      <c r="Q188" s="224">
        <f t="shared" si="298"/>
        <v>6.3</v>
      </c>
      <c r="R188" s="224"/>
      <c r="S188" s="179">
        <f t="shared" si="299"/>
        <v>78.669685041182646</v>
      </c>
      <c r="T188" s="555">
        <f t="shared" si="300"/>
        <v>6.3</v>
      </c>
      <c r="U188" s="224">
        <f t="shared" si="301"/>
        <v>0.19255877862595422</v>
      </c>
      <c r="V188" s="224">
        <f t="shared" si="302"/>
        <v>1.0590732824427482</v>
      </c>
      <c r="W188" s="224">
        <f t="shared" si="303"/>
        <v>0.8084528873608765</v>
      </c>
      <c r="X188" s="204">
        <f t="shared" si="304"/>
        <v>350</v>
      </c>
      <c r="Y188" s="455">
        <f t="shared" si="271"/>
        <v>350</v>
      </c>
      <c r="AA188" s="224">
        <f t="shared" si="305"/>
        <v>0.29459717771406085</v>
      </c>
      <c r="AB188" s="180">
        <f t="shared" si="306"/>
        <v>1.2368583797155226</v>
      </c>
      <c r="AC188" s="180">
        <f t="shared" si="307"/>
        <v>0.1275312457636627</v>
      </c>
      <c r="AD188" s="180"/>
      <c r="AE188" s="180">
        <f t="shared" si="308"/>
        <v>1.217557251908397</v>
      </c>
      <c r="AF188" s="564">
        <f t="shared" si="309"/>
        <v>220.90584801643064</v>
      </c>
      <c r="AG188" s="547">
        <f t="shared" si="310"/>
        <v>0.1235820610687023</v>
      </c>
      <c r="AI188" s="180">
        <f t="shared" si="311"/>
        <v>0.23039209943164171</v>
      </c>
      <c r="AJ188" s="180">
        <f t="shared" si="312"/>
        <v>0.28999999999999998</v>
      </c>
      <c r="AK188" s="180">
        <f t="shared" si="313"/>
        <v>1.126231913152246</v>
      </c>
      <c r="AM188" s="564">
        <f t="shared" si="314"/>
        <v>78.000000000000014</v>
      </c>
      <c r="AN188" s="473">
        <f t="shared" si="315"/>
        <v>220.90584801643064</v>
      </c>
      <c r="AP188">
        <f t="shared" si="316"/>
        <v>78.000000000000014</v>
      </c>
      <c r="AQ188">
        <f t="shared" si="317"/>
        <v>220.90584801643064</v>
      </c>
      <c r="AS188" s="5">
        <f t="shared" si="237"/>
        <v>4.5268154237619891</v>
      </c>
      <c r="AT188" s="5">
        <f t="shared" si="318"/>
        <v>1.5949999999999998</v>
      </c>
      <c r="AU188" s="5">
        <f t="shared" si="272"/>
        <v>2.9318154237619893</v>
      </c>
      <c r="AV188" s="5"/>
      <c r="AW188" s="180">
        <f t="shared" si="273"/>
        <v>0.35234482758620683</v>
      </c>
      <c r="AX188" s="180">
        <f t="shared" si="233"/>
        <v>0.51090000000000002</v>
      </c>
      <c r="AY188" s="180">
        <f t="shared" si="234"/>
        <v>0.18781999999999999</v>
      </c>
      <c r="AZ188" s="180">
        <f t="shared" si="238"/>
        <v>2.7201575976999259</v>
      </c>
      <c r="BD188" s="180">
        <f t="shared" si="239"/>
        <v>9.9385109548664266E-2</v>
      </c>
      <c r="BE188" s="180">
        <f t="shared" si="235"/>
        <v>0.26948790943812923</v>
      </c>
      <c r="BG188" s="547">
        <f t="shared" si="274"/>
        <v>3.4570899999999986E-3</v>
      </c>
      <c r="BH188" s="547">
        <f t="shared" si="275"/>
        <v>1.4798482758620687E-2</v>
      </c>
      <c r="BI188" s="547">
        <f t="shared" si="276"/>
        <v>2.7613231002053826E-3</v>
      </c>
      <c r="BJ188" s="547">
        <f t="shared" si="277"/>
        <v>6.7779602497027337E-3</v>
      </c>
      <c r="BK188">
        <f t="shared" si="278"/>
        <v>2.8999999999999998E-3</v>
      </c>
      <c r="BL188" s="473">
        <f t="shared" si="279"/>
        <v>30.6948561085288</v>
      </c>
      <c r="BM188" s="547">
        <f t="shared" si="280"/>
        <v>2.7300000000000005E-2</v>
      </c>
      <c r="BP188" s="473">
        <f t="shared" si="281"/>
        <v>27.300000000000004</v>
      </c>
      <c r="BQ188" s="547">
        <f t="shared" si="282"/>
        <v>1.0865139999999996E-3</v>
      </c>
      <c r="BR188" s="547">
        <f t="shared" si="283"/>
        <v>2.5418306666666673E-3</v>
      </c>
      <c r="BS188" s="547">
        <f t="shared" si="284"/>
        <v>1.6424154877504634E-3</v>
      </c>
      <c r="BT188" s="547">
        <f t="shared" si="285"/>
        <v>1.857818181818182E-2</v>
      </c>
      <c r="BU188" s="473">
        <f t="shared" si="286"/>
        <v>23.848941972598951</v>
      </c>
      <c r="BV188" s="180">
        <f t="shared" si="287"/>
        <v>8.1843798081127767E-2</v>
      </c>
      <c r="BW188" s="5">
        <f t="shared" si="288"/>
        <v>0.49140000000000006</v>
      </c>
      <c r="BX188" s="180">
        <f t="shared" si="289"/>
        <v>0.85722689306872379</v>
      </c>
      <c r="BY188" s="5">
        <f t="shared" si="290"/>
        <v>85.722689306872383</v>
      </c>
      <c r="CB188" s="582">
        <f t="shared" si="319"/>
        <v>-50</v>
      </c>
      <c r="CC188">
        <f t="shared" si="320"/>
        <v>-50</v>
      </c>
    </row>
    <row r="189" spans="5:81" x14ac:dyDescent="0.25">
      <c r="E189" s="177">
        <v>79</v>
      </c>
      <c r="F189" s="224">
        <f t="shared" si="321"/>
        <v>7.9000000000000015E-2</v>
      </c>
      <c r="G189" s="224"/>
      <c r="H189" s="224">
        <f t="shared" si="291"/>
        <v>0.49770000000000009</v>
      </c>
      <c r="I189" s="560">
        <f t="shared" si="292"/>
        <v>10</v>
      </c>
      <c r="J189" s="455">
        <f t="shared" si="293"/>
        <v>13.1</v>
      </c>
      <c r="K189" s="455">
        <f t="shared" si="294"/>
        <v>23.1</v>
      </c>
      <c r="L189" s="455"/>
      <c r="M189" s="224">
        <f t="shared" si="295"/>
        <v>0.5670995670995671</v>
      </c>
      <c r="N189" s="179">
        <f t="shared" si="296"/>
        <v>3.7003246753246755</v>
      </c>
      <c r="O189" s="179">
        <f t="shared" si="236"/>
        <v>0.49770000000000009</v>
      </c>
      <c r="P189" s="224">
        <f t="shared" si="297"/>
        <v>0.58735312306740883</v>
      </c>
      <c r="Q189" s="224">
        <f t="shared" si="298"/>
        <v>6.3</v>
      </c>
      <c r="R189" s="224"/>
      <c r="S189" s="179">
        <f t="shared" si="299"/>
        <v>77.610990961247836</v>
      </c>
      <c r="T189" s="555">
        <f t="shared" si="300"/>
        <v>6.3</v>
      </c>
      <c r="U189" s="224">
        <f t="shared" si="301"/>
        <v>0.19502748091603056</v>
      </c>
      <c r="V189" s="224">
        <f t="shared" si="302"/>
        <v>1.0726511450381682</v>
      </c>
      <c r="W189" s="224">
        <f t="shared" si="303"/>
        <v>0.81881766796806732</v>
      </c>
      <c r="X189" s="204">
        <f t="shared" si="304"/>
        <v>350</v>
      </c>
      <c r="Y189" s="455">
        <f t="shared" si="271"/>
        <v>350</v>
      </c>
      <c r="AA189" s="224">
        <f t="shared" si="305"/>
        <v>0.29459717771406085</v>
      </c>
      <c r="AB189" s="180">
        <f t="shared" si="306"/>
        <v>1.2368583797155226</v>
      </c>
      <c r="AC189" s="180">
        <f t="shared" si="307"/>
        <v>0.1275312457636627</v>
      </c>
      <c r="AD189" s="180"/>
      <c r="AE189" s="180">
        <f t="shared" si="308"/>
        <v>1.217557251908397</v>
      </c>
      <c r="AF189" s="564">
        <f t="shared" si="309"/>
        <v>223.73797427305158</v>
      </c>
      <c r="AG189" s="547">
        <f t="shared" si="310"/>
        <v>0.1235820610687023</v>
      </c>
      <c r="AI189" s="180">
        <f t="shared" si="311"/>
        <v>0.2318642684008016</v>
      </c>
      <c r="AJ189" s="180">
        <f t="shared" si="312"/>
        <v>0.28999999999999998</v>
      </c>
      <c r="AK189" s="180">
        <f t="shared" si="313"/>
        <v>1.1278502710131724</v>
      </c>
      <c r="AM189" s="564">
        <f t="shared" si="314"/>
        <v>79.000000000000014</v>
      </c>
      <c r="AN189" s="473">
        <f t="shared" si="315"/>
        <v>223.73797427305158</v>
      </c>
      <c r="AP189">
        <f t="shared" si="316"/>
        <v>79.000000000000014</v>
      </c>
      <c r="AQ189">
        <f t="shared" si="317"/>
        <v>223.73797427305158</v>
      </c>
      <c r="AS189" s="5">
        <f t="shared" si="237"/>
        <v>4.4695139627017095</v>
      </c>
      <c r="AT189" s="5">
        <f t="shared" si="318"/>
        <v>1.5949999999999998</v>
      </c>
      <c r="AU189" s="5">
        <f t="shared" si="272"/>
        <v>2.8745139627017098</v>
      </c>
      <c r="AV189" s="5"/>
      <c r="AW189" s="180">
        <f t="shared" si="273"/>
        <v>0.35686206896551725</v>
      </c>
      <c r="AX189" s="180">
        <f t="shared" si="233"/>
        <v>0.51745000000000008</v>
      </c>
      <c r="AY189" s="180">
        <f t="shared" si="234"/>
        <v>0.18650999999999995</v>
      </c>
      <c r="AZ189" s="180">
        <f t="shared" si="238"/>
        <v>2.7743820706664533</v>
      </c>
      <c r="BD189" s="180">
        <f t="shared" si="239"/>
        <v>0.10002016463360441</v>
      </c>
      <c r="BE189" s="180">
        <f t="shared" si="235"/>
        <v>0.26854645780572117</v>
      </c>
      <c r="BG189" s="547">
        <f t="shared" si="274"/>
        <v>3.5014116666666653E-3</v>
      </c>
      <c r="BH189" s="547">
        <f t="shared" si="275"/>
        <v>1.4988206896551724E-2</v>
      </c>
      <c r="BI189" s="547">
        <f t="shared" si="276"/>
        <v>2.7967246784131447E-3</v>
      </c>
      <c r="BJ189" s="547">
        <f t="shared" si="277"/>
        <v>6.8648571759809748E-3</v>
      </c>
      <c r="BK189">
        <f t="shared" si="278"/>
        <v>2.8999999999999998E-3</v>
      </c>
      <c r="BL189" s="473">
        <f t="shared" si="279"/>
        <v>31.05120041761251</v>
      </c>
      <c r="BM189" s="547">
        <f t="shared" si="280"/>
        <v>2.7650000000000004E-2</v>
      </c>
      <c r="BP189" s="473">
        <f t="shared" si="281"/>
        <v>27.650000000000006</v>
      </c>
      <c r="BQ189" s="547">
        <f t="shared" si="282"/>
        <v>1.1004436666666663E-3</v>
      </c>
      <c r="BR189" s="547">
        <f t="shared" si="283"/>
        <v>2.5241019999999994E-3</v>
      </c>
      <c r="BS189" s="547">
        <f t="shared" si="284"/>
        <v>1.6955642581048857E-3</v>
      </c>
      <c r="BT189" s="547">
        <f t="shared" si="285"/>
        <v>1.8816363636363638E-2</v>
      </c>
      <c r="BU189" s="473">
        <f t="shared" si="286"/>
        <v>24.13647356113519</v>
      </c>
      <c r="BV189" s="180">
        <f t="shared" si="287"/>
        <v>8.2837673978747695E-2</v>
      </c>
      <c r="BW189" s="5">
        <f t="shared" si="288"/>
        <v>0.49770000000000009</v>
      </c>
      <c r="BX189" s="180">
        <f t="shared" si="289"/>
        <v>0.8573087024464493</v>
      </c>
      <c r="BY189" s="5">
        <f t="shared" si="290"/>
        <v>85.730870244644933</v>
      </c>
      <c r="CB189" s="582">
        <f t="shared" si="319"/>
        <v>-50</v>
      </c>
      <c r="CC189">
        <f t="shared" si="320"/>
        <v>-50</v>
      </c>
    </row>
    <row r="190" spans="5:81" x14ac:dyDescent="0.25">
      <c r="E190" s="177">
        <v>80</v>
      </c>
      <c r="F190" s="224">
        <f t="shared" si="321"/>
        <v>8.0000000000000016E-2</v>
      </c>
      <c r="G190" s="224"/>
      <c r="H190" s="224">
        <f t="shared" si="291"/>
        <v>0.50400000000000011</v>
      </c>
      <c r="I190" s="560">
        <f t="shared" si="292"/>
        <v>10</v>
      </c>
      <c r="J190" s="455">
        <f t="shared" si="293"/>
        <v>13.1</v>
      </c>
      <c r="K190" s="455">
        <f t="shared" si="294"/>
        <v>23.1</v>
      </c>
      <c r="L190" s="455"/>
      <c r="M190" s="224">
        <f t="shared" si="295"/>
        <v>0.5670995670995671</v>
      </c>
      <c r="N190" s="179">
        <f t="shared" si="296"/>
        <v>3.7003246753246755</v>
      </c>
      <c r="O190" s="179">
        <f t="shared" si="236"/>
        <v>0.50400000000000011</v>
      </c>
      <c r="P190" s="224">
        <f t="shared" si="297"/>
        <v>0.58735312306740883</v>
      </c>
      <c r="Q190" s="224">
        <f t="shared" si="298"/>
        <v>6.3</v>
      </c>
      <c r="R190" s="224"/>
      <c r="S190" s="179">
        <f t="shared" si="299"/>
        <v>76.57876994680332</v>
      </c>
      <c r="T190" s="555">
        <f t="shared" si="300"/>
        <v>6.3</v>
      </c>
      <c r="U190" s="224">
        <f t="shared" si="301"/>
        <v>0.1974961832061069</v>
      </c>
      <c r="V190" s="224">
        <f t="shared" si="302"/>
        <v>1.0862290076335881</v>
      </c>
      <c r="W190" s="224">
        <f t="shared" si="303"/>
        <v>0.82918244857525814</v>
      </c>
      <c r="X190" s="204">
        <f t="shared" si="304"/>
        <v>350</v>
      </c>
      <c r="Y190" s="455">
        <f t="shared" si="271"/>
        <v>350</v>
      </c>
      <c r="AA190" s="224">
        <f t="shared" si="305"/>
        <v>0.29459717771406085</v>
      </c>
      <c r="AB190" s="180">
        <f t="shared" si="306"/>
        <v>1.2368583797155226</v>
      </c>
      <c r="AC190" s="180">
        <f t="shared" si="307"/>
        <v>0.1275312457636627</v>
      </c>
      <c r="AD190" s="180"/>
      <c r="AE190" s="180">
        <f t="shared" si="308"/>
        <v>1.217557251908397</v>
      </c>
      <c r="AF190" s="564">
        <f t="shared" si="309"/>
        <v>226.57010052967249</v>
      </c>
      <c r="AG190" s="547">
        <f t="shared" si="310"/>
        <v>0.1235820610687023</v>
      </c>
      <c r="AI190" s="180">
        <f t="shared" si="311"/>
        <v>0.23332714895947801</v>
      </c>
      <c r="AJ190" s="180">
        <f t="shared" si="312"/>
        <v>0.28999999999999998</v>
      </c>
      <c r="AK190" s="180">
        <f t="shared" si="313"/>
        <v>1.1294686288740985</v>
      </c>
      <c r="AM190" s="564">
        <f t="shared" si="314"/>
        <v>80.000000000000014</v>
      </c>
      <c r="AN190" s="473">
        <f t="shared" si="315"/>
        <v>226.57010052967249</v>
      </c>
      <c r="AP190">
        <f t="shared" si="316"/>
        <v>80.000000000000014</v>
      </c>
      <c r="AQ190">
        <f t="shared" si="317"/>
        <v>226.57010052967249</v>
      </c>
      <c r="AS190" s="5">
        <f t="shared" si="237"/>
        <v>4.413645038167938</v>
      </c>
      <c r="AT190" s="5">
        <f t="shared" si="318"/>
        <v>1.5949999999999998</v>
      </c>
      <c r="AU190" s="5">
        <f t="shared" si="272"/>
        <v>2.8186450381679382</v>
      </c>
      <c r="AV190" s="5"/>
      <c r="AW190" s="180">
        <f t="shared" si="273"/>
        <v>0.36137931034482762</v>
      </c>
      <c r="AX190" s="180">
        <f t="shared" si="233"/>
        <v>0.52400000000000002</v>
      </c>
      <c r="AY190" s="180">
        <f t="shared" si="234"/>
        <v>0.18519999999999998</v>
      </c>
      <c r="AZ190" s="180">
        <f t="shared" si="238"/>
        <v>2.8293736501079918</v>
      </c>
      <c r="BD190" s="180">
        <f t="shared" si="239"/>
        <v>0.10065121294185513</v>
      </c>
      <c r="BE190" s="180">
        <f t="shared" si="235"/>
        <v>0.26760169406539014</v>
      </c>
      <c r="BG190" s="547">
        <f t="shared" si="274"/>
        <v>3.5457333333333324E-3</v>
      </c>
      <c r="BH190" s="547">
        <f t="shared" si="275"/>
        <v>1.5177931034482759E-2</v>
      </c>
      <c r="BI190" s="547">
        <f t="shared" si="276"/>
        <v>2.8321262566209059E-3</v>
      </c>
      <c r="BJ190" s="547">
        <f t="shared" si="277"/>
        <v>6.9517541022592159E-3</v>
      </c>
      <c r="BK190">
        <f t="shared" si="278"/>
        <v>2.8999999999999998E-3</v>
      </c>
      <c r="BL190" s="473">
        <f t="shared" si="279"/>
        <v>31.407544726696212</v>
      </c>
      <c r="BM190" s="547">
        <f t="shared" si="280"/>
        <v>2.8000000000000004E-2</v>
      </c>
      <c r="BP190" s="473">
        <f t="shared" si="281"/>
        <v>28.000000000000004</v>
      </c>
      <c r="BQ190" s="547">
        <f t="shared" si="282"/>
        <v>1.114373333333333E-3</v>
      </c>
      <c r="BR190" s="547">
        <f t="shared" si="283"/>
        <v>2.5063733333333333E-3</v>
      </c>
      <c r="BS190" s="547">
        <f t="shared" si="284"/>
        <v>1.7497318306933032E-3</v>
      </c>
      <c r="BT190" s="547">
        <f t="shared" si="285"/>
        <v>1.9054545454545456E-2</v>
      </c>
      <c r="BU190" s="473">
        <f t="shared" si="286"/>
        <v>24.425023951905427</v>
      </c>
      <c r="BV190" s="180">
        <f t="shared" si="287"/>
        <v>8.3832568678601643E-2</v>
      </c>
      <c r="BW190" s="5">
        <f t="shared" si="288"/>
        <v>0.50400000000000011</v>
      </c>
      <c r="BX190" s="180">
        <f t="shared" si="289"/>
        <v>0.85738699564222809</v>
      </c>
      <c r="BY190" s="5">
        <f t="shared" si="290"/>
        <v>85.738699564222813</v>
      </c>
      <c r="CB190" s="582">
        <f t="shared" si="319"/>
        <v>-50</v>
      </c>
      <c r="CC190">
        <f t="shared" si="320"/>
        <v>-50</v>
      </c>
    </row>
    <row r="191" spans="5:81" x14ac:dyDescent="0.25">
      <c r="E191" s="177">
        <v>81</v>
      </c>
      <c r="F191" s="224">
        <f t="shared" si="321"/>
        <v>8.1000000000000016E-2</v>
      </c>
      <c r="G191" s="224"/>
      <c r="H191" s="224">
        <f t="shared" si="291"/>
        <v>0.51030000000000009</v>
      </c>
      <c r="I191" s="560">
        <f t="shared" si="292"/>
        <v>10</v>
      </c>
      <c r="J191" s="455">
        <f t="shared" si="293"/>
        <v>13.1</v>
      </c>
      <c r="K191" s="455">
        <f t="shared" si="294"/>
        <v>23.1</v>
      </c>
      <c r="L191" s="455"/>
      <c r="M191" s="224">
        <f t="shared" si="295"/>
        <v>0.5670995670995671</v>
      </c>
      <c r="N191" s="179">
        <f t="shared" si="296"/>
        <v>3.7003246753246755</v>
      </c>
      <c r="O191" s="179">
        <f t="shared" si="236"/>
        <v>0.51030000000000009</v>
      </c>
      <c r="P191" s="224">
        <f t="shared" si="297"/>
        <v>0.58735312306740883</v>
      </c>
      <c r="Q191" s="224">
        <f t="shared" si="298"/>
        <v>6.3</v>
      </c>
      <c r="R191" s="224"/>
      <c r="S191" s="179">
        <f t="shared" si="299"/>
        <v>75.572041526848693</v>
      </c>
      <c r="T191" s="555">
        <f t="shared" si="300"/>
        <v>6.3</v>
      </c>
      <c r="U191" s="224">
        <f t="shared" si="301"/>
        <v>0.19996488549618324</v>
      </c>
      <c r="V191" s="224">
        <f t="shared" si="302"/>
        <v>1.0998068702290078</v>
      </c>
      <c r="W191" s="224">
        <f t="shared" si="303"/>
        <v>0.83954722918244873</v>
      </c>
      <c r="X191" s="204">
        <f t="shared" si="304"/>
        <v>350</v>
      </c>
      <c r="Y191" s="455">
        <f t="shared" si="271"/>
        <v>350</v>
      </c>
      <c r="AA191" s="224">
        <f t="shared" si="305"/>
        <v>0.29459717771406085</v>
      </c>
      <c r="AB191" s="180">
        <f t="shared" si="306"/>
        <v>1.2368583797155226</v>
      </c>
      <c r="AC191" s="180">
        <f t="shared" si="307"/>
        <v>0.1275312457636627</v>
      </c>
      <c r="AD191" s="180"/>
      <c r="AE191" s="180">
        <f t="shared" si="308"/>
        <v>1.217557251908397</v>
      </c>
      <c r="AF191" s="564">
        <f t="shared" si="309"/>
        <v>229.40222678629337</v>
      </c>
      <c r="AG191" s="547">
        <f t="shared" si="310"/>
        <v>0.1235820610687023</v>
      </c>
      <c r="AI191" s="180">
        <f t="shared" si="311"/>
        <v>0.23478091473132548</v>
      </c>
      <c r="AJ191" s="180">
        <f t="shared" si="312"/>
        <v>0.28999999999999998</v>
      </c>
      <c r="AK191" s="180">
        <f t="shared" si="313"/>
        <v>1.1310869867350248</v>
      </c>
      <c r="AM191" s="564">
        <f t="shared" si="314"/>
        <v>81.000000000000014</v>
      </c>
      <c r="AN191" s="473">
        <f t="shared" si="315"/>
        <v>229.40222678629337</v>
      </c>
      <c r="AP191">
        <f t="shared" si="316"/>
        <v>81.000000000000014</v>
      </c>
      <c r="AQ191">
        <f t="shared" si="317"/>
        <v>229.40222678629337</v>
      </c>
      <c r="AS191" s="5">
        <f t="shared" si="237"/>
        <v>4.3591555932522859</v>
      </c>
      <c r="AT191" s="5">
        <f t="shared" si="318"/>
        <v>1.5949999999999998</v>
      </c>
      <c r="AU191" s="5">
        <f t="shared" si="272"/>
        <v>2.7641555932522861</v>
      </c>
      <c r="AV191" s="5"/>
      <c r="AW191" s="180">
        <f t="shared" si="273"/>
        <v>0.36589655172413782</v>
      </c>
      <c r="AX191" s="180">
        <f t="shared" si="233"/>
        <v>0.53054999999999997</v>
      </c>
      <c r="AY191" s="180">
        <f t="shared" si="234"/>
        <v>0.18389000000000003</v>
      </c>
      <c r="AZ191" s="180">
        <f t="shared" si="238"/>
        <v>2.8851487302191523</v>
      </c>
      <c r="BD191" s="180">
        <f t="shared" si="239"/>
        <v>0.10127832937010758</v>
      </c>
      <c r="BE191" s="180">
        <f t="shared" si="235"/>
        <v>0.26665358301236708</v>
      </c>
      <c r="BG191" s="547">
        <f t="shared" si="274"/>
        <v>3.5900549999999987E-3</v>
      </c>
      <c r="BH191" s="547">
        <f t="shared" si="275"/>
        <v>1.5367655172413792E-2</v>
      </c>
      <c r="BI191" s="547">
        <f t="shared" si="276"/>
        <v>2.8675278348286671E-3</v>
      </c>
      <c r="BJ191" s="547">
        <f t="shared" si="277"/>
        <v>7.0386510285374553E-3</v>
      </c>
      <c r="BK191">
        <f t="shared" si="278"/>
        <v>2.8999999999999998E-3</v>
      </c>
      <c r="BL191" s="473">
        <f t="shared" si="279"/>
        <v>31.763889035779911</v>
      </c>
      <c r="BM191" s="547">
        <f t="shared" si="280"/>
        <v>2.8350000000000004E-2</v>
      </c>
      <c r="BP191" s="473">
        <f t="shared" si="281"/>
        <v>28.350000000000005</v>
      </c>
      <c r="BQ191" s="547">
        <f t="shared" si="282"/>
        <v>1.1283029999999998E-3</v>
      </c>
      <c r="BR191" s="547">
        <f t="shared" si="283"/>
        <v>2.4886446666666675E-3</v>
      </c>
      <c r="BS191" s="547">
        <f t="shared" si="284"/>
        <v>1.8049246334388477E-3</v>
      </c>
      <c r="BT191" s="547">
        <f t="shared" si="285"/>
        <v>1.9292727272727274E-2</v>
      </c>
      <c r="BU191" s="473">
        <f t="shared" si="286"/>
        <v>24.714599572832789</v>
      </c>
      <c r="BV191" s="180">
        <f t="shared" si="287"/>
        <v>8.4828488608612695E-2</v>
      </c>
      <c r="BW191" s="5">
        <f t="shared" si="288"/>
        <v>0.51030000000000009</v>
      </c>
      <c r="BX191" s="180">
        <f t="shared" si="289"/>
        <v>0.85746189229331238</v>
      </c>
      <c r="BY191" s="5">
        <f t="shared" si="290"/>
        <v>85.746189229331236</v>
      </c>
      <c r="CB191" s="582">
        <f t="shared" si="319"/>
        <v>-50</v>
      </c>
      <c r="CC191">
        <f t="shared" si="320"/>
        <v>-50</v>
      </c>
    </row>
    <row r="192" spans="5:81" x14ac:dyDescent="0.25">
      <c r="E192" s="177">
        <v>82</v>
      </c>
      <c r="F192" s="224">
        <f t="shared" si="321"/>
        <v>8.2000000000000003E-2</v>
      </c>
      <c r="G192" s="224"/>
      <c r="H192" s="224">
        <f t="shared" si="291"/>
        <v>0.51660000000000006</v>
      </c>
      <c r="I192" s="560">
        <f t="shared" si="292"/>
        <v>10</v>
      </c>
      <c r="J192" s="455">
        <f t="shared" si="293"/>
        <v>13.1</v>
      </c>
      <c r="K192" s="455">
        <f t="shared" si="294"/>
        <v>23.1</v>
      </c>
      <c r="L192" s="455"/>
      <c r="M192" s="224">
        <f t="shared" si="295"/>
        <v>0.5670995670995671</v>
      </c>
      <c r="N192" s="179">
        <f t="shared" si="296"/>
        <v>3.7003246753246755</v>
      </c>
      <c r="O192" s="179">
        <f t="shared" si="236"/>
        <v>0.51660000000000006</v>
      </c>
      <c r="P192" s="224">
        <f t="shared" si="297"/>
        <v>0.58735312306740883</v>
      </c>
      <c r="Q192" s="224">
        <f t="shared" si="298"/>
        <v>6.3</v>
      </c>
      <c r="R192" s="224"/>
      <c r="S192" s="179">
        <f t="shared" si="299"/>
        <v>74.589873058273611</v>
      </c>
      <c r="T192" s="555">
        <f t="shared" si="300"/>
        <v>6.3</v>
      </c>
      <c r="U192" s="224">
        <f t="shared" si="301"/>
        <v>0.20243358778625956</v>
      </c>
      <c r="V192" s="224">
        <f t="shared" si="302"/>
        <v>1.1133847328244277</v>
      </c>
      <c r="W192" s="224">
        <f t="shared" si="303"/>
        <v>0.84991200978963943</v>
      </c>
      <c r="X192" s="204">
        <f t="shared" si="304"/>
        <v>350</v>
      </c>
      <c r="Y192" s="455">
        <f t="shared" si="271"/>
        <v>350</v>
      </c>
      <c r="AA192" s="224">
        <f t="shared" si="305"/>
        <v>0.29459717771406085</v>
      </c>
      <c r="AB192" s="180">
        <f t="shared" si="306"/>
        <v>1.2368583797155226</v>
      </c>
      <c r="AC192" s="180">
        <f t="shared" si="307"/>
        <v>0.1275312457636627</v>
      </c>
      <c r="AD192" s="180"/>
      <c r="AE192" s="180">
        <f t="shared" si="308"/>
        <v>1.217557251908397</v>
      </c>
      <c r="AF192" s="564">
        <f t="shared" si="309"/>
        <v>232.23435304291428</v>
      </c>
      <c r="AG192" s="547">
        <f t="shared" si="310"/>
        <v>0.1235820610687023</v>
      </c>
      <c r="AI192" s="180">
        <f t="shared" si="311"/>
        <v>0.23622573399737251</v>
      </c>
      <c r="AJ192" s="180">
        <f t="shared" si="312"/>
        <v>0.28999999999999998</v>
      </c>
      <c r="AK192" s="180">
        <f t="shared" si="313"/>
        <v>1.132705344595951</v>
      </c>
      <c r="AM192" s="564">
        <f t="shared" si="314"/>
        <v>82</v>
      </c>
      <c r="AN192" s="473">
        <f t="shared" si="315"/>
        <v>232.23435304291428</v>
      </c>
      <c r="AP192">
        <f t="shared" si="316"/>
        <v>82</v>
      </c>
      <c r="AQ192">
        <f t="shared" si="317"/>
        <v>232.23435304291428</v>
      </c>
      <c r="AS192" s="5">
        <f t="shared" si="237"/>
        <v>4.3059951591882326</v>
      </c>
      <c r="AT192" s="5">
        <f t="shared" si="318"/>
        <v>1.5949999999999998</v>
      </c>
      <c r="AU192" s="5">
        <f t="shared" si="272"/>
        <v>2.7109951591882329</v>
      </c>
      <c r="AV192" s="5"/>
      <c r="AW192" s="180">
        <f t="shared" si="273"/>
        <v>0.37041379310344824</v>
      </c>
      <c r="AX192" s="180">
        <f t="shared" si="233"/>
        <v>0.53710000000000002</v>
      </c>
      <c r="AY192" s="180">
        <f t="shared" si="234"/>
        <v>0.18257999999999999</v>
      </c>
      <c r="AZ192" s="180">
        <f t="shared" si="238"/>
        <v>2.9417241757038015</v>
      </c>
      <c r="BD192" s="180">
        <f t="shared" si="239"/>
        <v>0.10190158651038428</v>
      </c>
      <c r="BE192" s="180">
        <f t="shared" si="235"/>
        <v>0.265702088813769</v>
      </c>
      <c r="BG192" s="547">
        <f t="shared" si="274"/>
        <v>3.6343766666666658E-3</v>
      </c>
      <c r="BH192" s="547">
        <f t="shared" si="275"/>
        <v>1.5557379310344828E-2</v>
      </c>
      <c r="BI192" s="547">
        <f t="shared" si="276"/>
        <v>2.9029294130364282E-3</v>
      </c>
      <c r="BJ192" s="547">
        <f t="shared" si="277"/>
        <v>7.1255479548156956E-3</v>
      </c>
      <c r="BK192">
        <f t="shared" si="278"/>
        <v>2.8999999999999998E-3</v>
      </c>
      <c r="BL192" s="473">
        <f t="shared" si="279"/>
        <v>32.120233344863614</v>
      </c>
      <c r="BM192" s="547">
        <f t="shared" si="280"/>
        <v>2.87E-2</v>
      </c>
      <c r="BP192" s="473">
        <f t="shared" si="281"/>
        <v>28.7</v>
      </c>
      <c r="BQ192" s="547">
        <f t="shared" si="282"/>
        <v>1.1422326666666665E-3</v>
      </c>
      <c r="BR192" s="547">
        <f t="shared" si="283"/>
        <v>2.4709159999999997E-3</v>
      </c>
      <c r="BS192" s="547">
        <f t="shared" si="284"/>
        <v>1.8611490542125735E-3</v>
      </c>
      <c r="BT192" s="547">
        <f t="shared" si="285"/>
        <v>1.9530909090909092E-2</v>
      </c>
      <c r="BU192" s="473">
        <f t="shared" si="286"/>
        <v>25.005206811788334</v>
      </c>
      <c r="BV192" s="180">
        <f t="shared" si="287"/>
        <v>8.5825440156651944E-2</v>
      </c>
      <c r="BW192" s="5">
        <f t="shared" si="288"/>
        <v>0.51660000000000006</v>
      </c>
      <c r="BX192" s="180">
        <f t="shared" si="289"/>
        <v>0.8575335063301206</v>
      </c>
      <c r="BY192" s="5">
        <f t="shared" si="290"/>
        <v>85.753350633012062</v>
      </c>
      <c r="CB192" s="582">
        <f t="shared" si="319"/>
        <v>-50</v>
      </c>
      <c r="CC192">
        <f t="shared" si="320"/>
        <v>-50</v>
      </c>
    </row>
    <row r="193" spans="5:81" x14ac:dyDescent="0.25">
      <c r="E193" s="177">
        <v>83</v>
      </c>
      <c r="F193" s="224">
        <f t="shared" si="321"/>
        <v>8.3000000000000004E-2</v>
      </c>
      <c r="G193" s="224"/>
      <c r="H193" s="224">
        <f t="shared" si="291"/>
        <v>0.52290000000000003</v>
      </c>
      <c r="I193" s="560">
        <f t="shared" si="292"/>
        <v>10</v>
      </c>
      <c r="J193" s="455">
        <f t="shared" si="293"/>
        <v>13.1</v>
      </c>
      <c r="K193" s="455">
        <f t="shared" si="294"/>
        <v>23.1</v>
      </c>
      <c r="L193" s="455"/>
      <c r="M193" s="224">
        <f t="shared" si="295"/>
        <v>0.5670995670995671</v>
      </c>
      <c r="N193" s="179">
        <f t="shared" si="296"/>
        <v>3.7003246753246755</v>
      </c>
      <c r="O193" s="179">
        <f t="shared" si="236"/>
        <v>0.52290000000000003</v>
      </c>
      <c r="P193" s="224">
        <f t="shared" si="297"/>
        <v>0.58735312306740883</v>
      </c>
      <c r="Q193" s="224">
        <f t="shared" si="298"/>
        <v>6.3</v>
      </c>
      <c r="R193" s="224"/>
      <c r="S193" s="179">
        <f t="shared" si="299"/>
        <v>73.631376844659727</v>
      </c>
      <c r="T193" s="555">
        <f t="shared" si="300"/>
        <v>6.3</v>
      </c>
      <c r="U193" s="224">
        <f t="shared" si="301"/>
        <v>0.2049022900763359</v>
      </c>
      <c r="V193" s="224">
        <f t="shared" si="302"/>
        <v>1.1269625954198474</v>
      </c>
      <c r="W193" s="224">
        <f t="shared" si="303"/>
        <v>0.86027679039683025</v>
      </c>
      <c r="X193" s="204">
        <f t="shared" si="304"/>
        <v>350</v>
      </c>
      <c r="Y193" s="455">
        <f t="shared" si="271"/>
        <v>350</v>
      </c>
      <c r="AA193" s="224">
        <f t="shared" si="305"/>
        <v>0.29459717771406085</v>
      </c>
      <c r="AB193" s="180">
        <f t="shared" si="306"/>
        <v>1.2368583797155226</v>
      </c>
      <c r="AC193" s="180">
        <f t="shared" si="307"/>
        <v>0.1275312457636627</v>
      </c>
      <c r="AD193" s="180"/>
      <c r="AE193" s="180">
        <f t="shared" si="308"/>
        <v>1.217557251908397</v>
      </c>
      <c r="AF193" s="564">
        <f t="shared" si="309"/>
        <v>235.06647929953516</v>
      </c>
      <c r="AG193" s="547">
        <f t="shared" si="310"/>
        <v>0.1235820610687023</v>
      </c>
      <c r="AI193" s="180">
        <f t="shared" si="311"/>
        <v>0.23766176992338686</v>
      </c>
      <c r="AJ193" s="180">
        <f t="shared" si="312"/>
        <v>0.28999999999999998</v>
      </c>
      <c r="AK193" s="180">
        <f t="shared" si="313"/>
        <v>1.1343237024568773</v>
      </c>
      <c r="AM193" s="564">
        <f t="shared" si="314"/>
        <v>83</v>
      </c>
      <c r="AN193" s="473">
        <f t="shared" si="315"/>
        <v>235.06647929953516</v>
      </c>
      <c r="AP193">
        <f t="shared" si="316"/>
        <v>83</v>
      </c>
      <c r="AQ193">
        <f t="shared" si="317"/>
        <v>235.06647929953516</v>
      </c>
      <c r="AS193" s="5">
        <f t="shared" si="237"/>
        <v>4.2541156994389775</v>
      </c>
      <c r="AT193" s="5">
        <f t="shared" si="318"/>
        <v>1.5949999999999998</v>
      </c>
      <c r="AU193" s="5">
        <f t="shared" si="272"/>
        <v>2.6591156994389777</v>
      </c>
      <c r="AV193" s="5"/>
      <c r="AW193" s="180">
        <f t="shared" si="273"/>
        <v>0.37493103448275855</v>
      </c>
      <c r="AX193" s="180">
        <f t="shared" si="233"/>
        <v>0.54364999999999986</v>
      </c>
      <c r="AY193" s="180">
        <f t="shared" si="234"/>
        <v>0.18127000000000001</v>
      </c>
      <c r="AZ193" s="180">
        <f t="shared" si="238"/>
        <v>2.9991173387764096</v>
      </c>
      <c r="BD193" s="180">
        <f t="shared" si="239"/>
        <v>0.10252105474811826</v>
      </c>
      <c r="BE193" s="180">
        <f t="shared" si="235"/>
        <v>0.26474717499279699</v>
      </c>
      <c r="BG193" s="547">
        <f t="shared" si="274"/>
        <v>3.6786983333333312E-3</v>
      </c>
      <c r="BH193" s="547">
        <f t="shared" si="275"/>
        <v>1.5747103448275859E-2</v>
      </c>
      <c r="BI193" s="547">
        <f t="shared" si="276"/>
        <v>2.938330991244189E-3</v>
      </c>
      <c r="BJ193" s="547">
        <f t="shared" si="277"/>
        <v>7.2124448810939349E-3</v>
      </c>
      <c r="BK193">
        <f t="shared" si="278"/>
        <v>2.8999999999999998E-3</v>
      </c>
      <c r="BL193" s="473">
        <f t="shared" si="279"/>
        <v>32.476577653947317</v>
      </c>
      <c r="BM193" s="547">
        <f t="shared" si="280"/>
        <v>2.9049999999999999E-2</v>
      </c>
      <c r="BP193" s="473">
        <f t="shared" si="281"/>
        <v>29.05</v>
      </c>
      <c r="BQ193" s="547">
        <f t="shared" si="282"/>
        <v>1.1561623333333328E-3</v>
      </c>
      <c r="BR193" s="547">
        <f t="shared" si="283"/>
        <v>2.4531873333333339E-3</v>
      </c>
      <c r="BS193" s="547">
        <f t="shared" si="284"/>
        <v>1.9184114415729315E-3</v>
      </c>
      <c r="BT193" s="547">
        <f t="shared" si="285"/>
        <v>1.9769090909090906E-2</v>
      </c>
      <c r="BU193" s="473">
        <f t="shared" si="286"/>
        <v>25.296852017330508</v>
      </c>
      <c r="BV193" s="180">
        <f t="shared" si="287"/>
        <v>8.6823429671277805E-2</v>
      </c>
      <c r="BW193" s="5">
        <f t="shared" si="288"/>
        <v>0.52290000000000003</v>
      </c>
      <c r="BX193" s="180">
        <f t="shared" si="289"/>
        <v>0.85760194631509046</v>
      </c>
      <c r="BY193" s="5">
        <f t="shared" si="290"/>
        <v>85.760194631509052</v>
      </c>
      <c r="CB193" s="582">
        <f t="shared" si="319"/>
        <v>-50</v>
      </c>
      <c r="CC193">
        <f t="shared" si="320"/>
        <v>-50</v>
      </c>
    </row>
    <row r="194" spans="5:81" x14ac:dyDescent="0.25">
      <c r="E194" s="177">
        <v>84</v>
      </c>
      <c r="F194" s="224">
        <f t="shared" si="321"/>
        <v>8.4000000000000005E-2</v>
      </c>
      <c r="G194" s="224"/>
      <c r="H194" s="224">
        <f t="shared" si="291"/>
        <v>0.5292</v>
      </c>
      <c r="I194" s="560">
        <f t="shared" si="292"/>
        <v>10</v>
      </c>
      <c r="J194" s="455">
        <f t="shared" si="293"/>
        <v>13.1</v>
      </c>
      <c r="K194" s="455">
        <f t="shared" si="294"/>
        <v>23.1</v>
      </c>
      <c r="L194" s="455"/>
      <c r="M194" s="224">
        <f t="shared" si="295"/>
        <v>0.5670995670995671</v>
      </c>
      <c r="N194" s="179">
        <f t="shared" si="296"/>
        <v>3.7003246753246755</v>
      </c>
      <c r="O194" s="179">
        <f t="shared" si="236"/>
        <v>0.5292</v>
      </c>
      <c r="P194" s="224">
        <f t="shared" si="297"/>
        <v>0.58735312306740883</v>
      </c>
      <c r="Q194" s="224">
        <f t="shared" si="298"/>
        <v>6.3</v>
      </c>
      <c r="R194" s="224"/>
      <c r="S194" s="179">
        <f t="shared" si="299"/>
        <v>72.695707460882446</v>
      </c>
      <c r="T194" s="555">
        <f t="shared" si="300"/>
        <v>6.3</v>
      </c>
      <c r="U194" s="224">
        <f t="shared" si="301"/>
        <v>0.20737099236641221</v>
      </c>
      <c r="V194" s="224">
        <f t="shared" si="302"/>
        <v>1.1405404580152674</v>
      </c>
      <c r="W194" s="224">
        <f t="shared" si="303"/>
        <v>0.87064157100402084</v>
      </c>
      <c r="X194" s="204">
        <f t="shared" si="304"/>
        <v>350</v>
      </c>
      <c r="Y194" s="455">
        <f t="shared" si="271"/>
        <v>350</v>
      </c>
      <c r="AA194" s="224">
        <f t="shared" si="305"/>
        <v>0.29459717771406085</v>
      </c>
      <c r="AB194" s="180">
        <f t="shared" si="306"/>
        <v>1.2368583797155226</v>
      </c>
      <c r="AC194" s="180">
        <f t="shared" si="307"/>
        <v>0.1275312457636627</v>
      </c>
      <c r="AD194" s="180"/>
      <c r="AE194" s="180">
        <f t="shared" si="308"/>
        <v>1.217557251908397</v>
      </c>
      <c r="AF194" s="564">
        <f t="shared" si="309"/>
        <v>237.89860555615607</v>
      </c>
      <c r="AG194" s="547">
        <f t="shared" si="310"/>
        <v>0.1235820610687023</v>
      </c>
      <c r="AI194" s="180">
        <f t="shared" si="311"/>
        <v>0.23908918077494926</v>
      </c>
      <c r="AJ194" s="180">
        <f t="shared" si="312"/>
        <v>0.28999999999999998</v>
      </c>
      <c r="AK194" s="180">
        <f t="shared" si="313"/>
        <v>1.1359420603178034</v>
      </c>
      <c r="AM194" s="564">
        <f t="shared" si="314"/>
        <v>84</v>
      </c>
      <c r="AN194" s="473">
        <f t="shared" si="315"/>
        <v>237.89860555615607</v>
      </c>
      <c r="AP194">
        <f t="shared" si="316"/>
        <v>84</v>
      </c>
      <c r="AQ194">
        <f t="shared" si="317"/>
        <v>237.89860555615607</v>
      </c>
      <c r="AS194" s="5">
        <f t="shared" si="237"/>
        <v>4.2034714649218472</v>
      </c>
      <c r="AT194" s="5">
        <f t="shared" si="318"/>
        <v>1.5949999999999998</v>
      </c>
      <c r="AU194" s="5">
        <f t="shared" si="272"/>
        <v>2.6084714649218474</v>
      </c>
      <c r="AV194" s="5"/>
      <c r="AW194" s="180">
        <f t="shared" si="273"/>
        <v>0.37944827586206886</v>
      </c>
      <c r="AX194" s="180">
        <f t="shared" si="233"/>
        <v>0.55019999999999991</v>
      </c>
      <c r="AY194" s="180">
        <f t="shared" si="234"/>
        <v>0.17996000000000001</v>
      </c>
      <c r="AZ194" s="180">
        <f t="shared" si="238"/>
        <v>3.0573460769059784</v>
      </c>
      <c r="BD194" s="180">
        <f t="shared" si="239"/>
        <v>0.10313680235493049</v>
      </c>
      <c r="BE194" s="180">
        <f t="shared" si="235"/>
        <v>0.26378880441241881</v>
      </c>
      <c r="BG194" s="547">
        <f t="shared" si="274"/>
        <v>3.7230199999999979E-3</v>
      </c>
      <c r="BH194" s="547">
        <f t="shared" si="275"/>
        <v>1.5936827586206896E-2</v>
      </c>
      <c r="BI194" s="547">
        <f t="shared" si="276"/>
        <v>2.9737325694519506E-3</v>
      </c>
      <c r="BJ194" s="547">
        <f t="shared" si="277"/>
        <v>7.2993418073721743E-3</v>
      </c>
      <c r="BK194">
        <f t="shared" si="278"/>
        <v>2.8999999999999998E-3</v>
      </c>
      <c r="BL194" s="473">
        <f t="shared" si="279"/>
        <v>32.832921963031019</v>
      </c>
      <c r="BM194" s="547">
        <f t="shared" si="280"/>
        <v>2.9399999999999999E-2</v>
      </c>
      <c r="BP194" s="473">
        <f t="shared" si="281"/>
        <v>29.4</v>
      </c>
      <c r="BQ194" s="547">
        <f t="shared" si="282"/>
        <v>1.1700919999999993E-3</v>
      </c>
      <c r="BR194" s="547">
        <f t="shared" si="283"/>
        <v>2.4354586666666673E-3</v>
      </c>
      <c r="BS194" s="547">
        <f t="shared" si="284"/>
        <v>1.9767181054828097E-3</v>
      </c>
      <c r="BT194" s="547">
        <f t="shared" si="285"/>
        <v>2.0007272727272728E-2</v>
      </c>
      <c r="BU194" s="473">
        <f t="shared" si="286"/>
        <v>25.589541499422204</v>
      </c>
      <c r="BV194" s="180">
        <f t="shared" si="287"/>
        <v>8.7822463462453204E-2</v>
      </c>
      <c r="BW194" s="5">
        <f t="shared" si="288"/>
        <v>0.5292</v>
      </c>
      <c r="BX194" s="180">
        <f t="shared" si="289"/>
        <v>0.85766731575762578</v>
      </c>
      <c r="BY194" s="5">
        <f t="shared" si="290"/>
        <v>85.766731575762577</v>
      </c>
      <c r="CB194" s="582">
        <f t="shared" si="319"/>
        <v>-50</v>
      </c>
      <c r="CC194">
        <f t="shared" si="320"/>
        <v>-50</v>
      </c>
    </row>
    <row r="195" spans="5:81" x14ac:dyDescent="0.25">
      <c r="E195" s="177">
        <v>85</v>
      </c>
      <c r="F195" s="224">
        <f t="shared" si="321"/>
        <v>8.5000000000000006E-2</v>
      </c>
      <c r="G195" s="224"/>
      <c r="H195" s="224">
        <f t="shared" si="291"/>
        <v>0.53549999999999998</v>
      </c>
      <c r="I195" s="560">
        <f t="shared" si="292"/>
        <v>10</v>
      </c>
      <c r="J195" s="455">
        <f t="shared" si="293"/>
        <v>13.1</v>
      </c>
      <c r="K195" s="455">
        <f t="shared" si="294"/>
        <v>23.1</v>
      </c>
      <c r="L195" s="455"/>
      <c r="M195" s="224">
        <f t="shared" si="295"/>
        <v>0.5670995670995671</v>
      </c>
      <c r="N195" s="179">
        <f t="shared" si="296"/>
        <v>3.7003246753246755</v>
      </c>
      <c r="O195" s="179">
        <f t="shared" si="236"/>
        <v>0.53549999999999998</v>
      </c>
      <c r="P195" s="224">
        <f t="shared" si="297"/>
        <v>0.58735312306740883</v>
      </c>
      <c r="Q195" s="224">
        <f t="shared" si="298"/>
        <v>6.3</v>
      </c>
      <c r="R195" s="224"/>
      <c r="S195" s="179">
        <f t="shared" si="299"/>
        <v>71.78205926656446</v>
      </c>
      <c r="T195" s="555">
        <f t="shared" si="300"/>
        <v>6.3</v>
      </c>
      <c r="U195" s="224">
        <f t="shared" si="301"/>
        <v>0.20983969465648855</v>
      </c>
      <c r="V195" s="224">
        <f t="shared" si="302"/>
        <v>1.1541183206106871</v>
      </c>
      <c r="W195" s="224">
        <f t="shared" si="303"/>
        <v>0.88100635161121155</v>
      </c>
      <c r="X195" s="204">
        <f t="shared" si="304"/>
        <v>350</v>
      </c>
      <c r="Y195" s="455">
        <f t="shared" si="271"/>
        <v>350</v>
      </c>
      <c r="AA195" s="224">
        <f t="shared" si="305"/>
        <v>0.29459717771406085</v>
      </c>
      <c r="AB195" s="180">
        <f t="shared" si="306"/>
        <v>1.2368583797155226</v>
      </c>
      <c r="AC195" s="180">
        <f t="shared" si="307"/>
        <v>0.1275312457636627</v>
      </c>
      <c r="AD195" s="180"/>
      <c r="AE195" s="180">
        <f t="shared" si="308"/>
        <v>1.217557251908397</v>
      </c>
      <c r="AF195" s="564">
        <f t="shared" si="309"/>
        <v>240.73073181277698</v>
      </c>
      <c r="AG195" s="547">
        <f t="shared" si="310"/>
        <v>0.1235820610687023</v>
      </c>
      <c r="AI195" s="180">
        <f t="shared" si="311"/>
        <v>0.24050812012103842</v>
      </c>
      <c r="AJ195" s="180">
        <f t="shared" si="312"/>
        <v>0.28999999999999998</v>
      </c>
      <c r="AK195" s="180">
        <f t="shared" si="313"/>
        <v>1.1375604181787298</v>
      </c>
      <c r="AM195" s="564">
        <f t="shared" si="314"/>
        <v>85</v>
      </c>
      <c r="AN195" s="473">
        <f t="shared" si="315"/>
        <v>240.73073181277698</v>
      </c>
      <c r="AP195">
        <f t="shared" si="316"/>
        <v>85</v>
      </c>
      <c r="AQ195">
        <f t="shared" si="317"/>
        <v>240.73073181277698</v>
      </c>
      <c r="AS195" s="5">
        <f t="shared" si="237"/>
        <v>4.1540188594521785</v>
      </c>
      <c r="AT195" s="5">
        <f t="shared" si="318"/>
        <v>1.5949999999999998</v>
      </c>
      <c r="AU195" s="5">
        <f t="shared" si="272"/>
        <v>2.5590188594521788</v>
      </c>
      <c r="AV195" s="5"/>
      <c r="AW195" s="180">
        <f t="shared" si="273"/>
        <v>0.38396551724137917</v>
      </c>
      <c r="AX195" s="180">
        <f t="shared" si="233"/>
        <v>0.55674999999999997</v>
      </c>
      <c r="AY195" s="180">
        <f t="shared" si="234"/>
        <v>0.17865000000000003</v>
      </c>
      <c r="AZ195" s="180">
        <f t="shared" si="238"/>
        <v>3.1164287713406096</v>
      </c>
      <c r="BD195" s="180">
        <f t="shared" si="239"/>
        <v>0.10374889557645098</v>
      </c>
      <c r="BE195" s="180">
        <f t="shared" si="235"/>
        <v>0.26282693925851669</v>
      </c>
      <c r="BG195" s="547">
        <f t="shared" si="274"/>
        <v>3.7673416666666655E-3</v>
      </c>
      <c r="BH195" s="547">
        <f t="shared" si="275"/>
        <v>1.612655172413793E-2</v>
      </c>
      <c r="BI195" s="547">
        <f t="shared" si="276"/>
        <v>3.0091341476597118E-3</v>
      </c>
      <c r="BJ195" s="547">
        <f t="shared" si="277"/>
        <v>7.3862387336504146E-3</v>
      </c>
      <c r="BK195">
        <f t="shared" si="278"/>
        <v>2.8999999999999998E-3</v>
      </c>
      <c r="BL195" s="473">
        <f t="shared" si="279"/>
        <v>33.189266272114722</v>
      </c>
      <c r="BM195" s="547">
        <f t="shared" si="280"/>
        <v>2.9749999999999999E-2</v>
      </c>
      <c r="BP195" s="473">
        <f t="shared" si="281"/>
        <v>29.75</v>
      </c>
      <c r="BQ195" s="547">
        <f t="shared" si="282"/>
        <v>1.1840216666666663E-3</v>
      </c>
      <c r="BR195" s="547">
        <f t="shared" si="283"/>
        <v>2.4177300000000012E-3</v>
      </c>
      <c r="BS195" s="547">
        <f t="shared" si="284"/>
        <v>2.0360753180050381E-3</v>
      </c>
      <c r="BT195" s="547">
        <f t="shared" si="285"/>
        <v>2.0245454545454546E-2</v>
      </c>
      <c r="BU195" s="473">
        <f t="shared" si="286"/>
        <v>25.883281530126251</v>
      </c>
      <c r="BV195" s="180">
        <f t="shared" si="287"/>
        <v>8.882254780224097E-2</v>
      </c>
      <c r="BW195" s="5">
        <f t="shared" si="288"/>
        <v>0.53549999999999998</v>
      </c>
      <c r="BX195" s="180">
        <f t="shared" si="289"/>
        <v>0.85772971340708937</v>
      </c>
      <c r="BY195" s="5">
        <f t="shared" si="290"/>
        <v>85.772971340708935</v>
      </c>
      <c r="CB195" s="582">
        <f t="shared" si="319"/>
        <v>-50</v>
      </c>
      <c r="CC195">
        <f t="shared" si="320"/>
        <v>-50</v>
      </c>
    </row>
    <row r="196" spans="5:81" x14ac:dyDescent="0.25">
      <c r="E196" s="177">
        <v>86</v>
      </c>
      <c r="F196" s="224">
        <f t="shared" si="321"/>
        <v>8.6000000000000007E-2</v>
      </c>
      <c r="G196" s="224"/>
      <c r="H196" s="224">
        <f t="shared" si="291"/>
        <v>0.54180000000000006</v>
      </c>
      <c r="I196" s="560">
        <f t="shared" si="292"/>
        <v>10</v>
      </c>
      <c r="J196" s="455">
        <f t="shared" si="293"/>
        <v>13.1</v>
      </c>
      <c r="K196" s="455">
        <f t="shared" si="294"/>
        <v>23.1</v>
      </c>
      <c r="L196" s="455"/>
      <c r="M196" s="224">
        <f t="shared" si="295"/>
        <v>0.5670995670995671</v>
      </c>
      <c r="N196" s="179">
        <f t="shared" si="296"/>
        <v>3.7003246753246755</v>
      </c>
      <c r="O196" s="179">
        <f t="shared" si="236"/>
        <v>0.54180000000000006</v>
      </c>
      <c r="P196" s="224">
        <f t="shared" si="297"/>
        <v>0.58735312306740883</v>
      </c>
      <c r="Q196" s="224">
        <f t="shared" si="298"/>
        <v>6.3</v>
      </c>
      <c r="R196" s="224"/>
      <c r="S196" s="179">
        <f t="shared" si="299"/>
        <v>70.889664093009046</v>
      </c>
      <c r="T196" s="555">
        <f t="shared" si="300"/>
        <v>6.3</v>
      </c>
      <c r="U196" s="224">
        <f t="shared" si="301"/>
        <v>0.21230839694656492</v>
      </c>
      <c r="V196" s="224">
        <f t="shared" si="302"/>
        <v>1.167696183206107</v>
      </c>
      <c r="W196" s="224">
        <f t="shared" si="303"/>
        <v>0.89137113221840236</v>
      </c>
      <c r="X196" s="204">
        <f t="shared" si="304"/>
        <v>350</v>
      </c>
      <c r="Y196" s="455">
        <f t="shared" si="271"/>
        <v>350</v>
      </c>
      <c r="AA196" s="224">
        <f t="shared" si="305"/>
        <v>0.29459717771406085</v>
      </c>
      <c r="AB196" s="180">
        <f t="shared" si="306"/>
        <v>1.2368583797155226</v>
      </c>
      <c r="AC196" s="180">
        <f t="shared" si="307"/>
        <v>0.1275312457636627</v>
      </c>
      <c r="AD196" s="180"/>
      <c r="AE196" s="180">
        <f t="shared" si="308"/>
        <v>1.217557251908397</v>
      </c>
      <c r="AF196" s="564">
        <f t="shared" si="309"/>
        <v>243.56285806939789</v>
      </c>
      <c r="AG196" s="547">
        <f t="shared" si="310"/>
        <v>0.1235820610687023</v>
      </c>
      <c r="AI196" s="180">
        <f t="shared" si="311"/>
        <v>0.24191873702686884</v>
      </c>
      <c r="AJ196" s="180">
        <f t="shared" si="312"/>
        <v>0.28999999999999998</v>
      </c>
      <c r="AK196" s="180">
        <f t="shared" si="313"/>
        <v>1.1391787760396559</v>
      </c>
      <c r="AM196" s="564">
        <f t="shared" si="314"/>
        <v>86</v>
      </c>
      <c r="AN196" s="473">
        <f t="shared" si="315"/>
        <v>243.56285806939789</v>
      </c>
      <c r="AP196">
        <f t="shared" si="316"/>
        <v>86</v>
      </c>
      <c r="AQ196">
        <f t="shared" si="317"/>
        <v>243.56285806939789</v>
      </c>
      <c r="AS196" s="5">
        <f t="shared" si="237"/>
        <v>4.1057163145748268</v>
      </c>
      <c r="AT196" s="5">
        <f t="shared" si="318"/>
        <v>1.5949999999999998</v>
      </c>
      <c r="AU196" s="5">
        <f t="shared" si="272"/>
        <v>2.510716314574827</v>
      </c>
      <c r="AV196" s="5"/>
      <c r="AW196" s="180">
        <f t="shared" si="273"/>
        <v>0.38848275862068959</v>
      </c>
      <c r="AX196" s="180">
        <f t="shared" si="233"/>
        <v>0.56330000000000002</v>
      </c>
      <c r="AY196" s="180">
        <f t="shared" si="234"/>
        <v>0.17734</v>
      </c>
      <c r="AZ196" s="180">
        <f t="shared" si="238"/>
        <v>3.1763843464531409</v>
      </c>
      <c r="BD196" s="180">
        <f t="shared" si="239"/>
        <v>0.10435739871550394</v>
      </c>
      <c r="BE196" s="180">
        <f t="shared" si="235"/>
        <v>0.2618615410224775</v>
      </c>
      <c r="BG196" s="547">
        <f t="shared" si="274"/>
        <v>3.8116633333333317E-3</v>
      </c>
      <c r="BH196" s="547">
        <f t="shared" si="275"/>
        <v>1.6316275862068966E-2</v>
      </c>
      <c r="BI196" s="547">
        <f t="shared" si="276"/>
        <v>3.0445357258674739E-3</v>
      </c>
      <c r="BJ196" s="547">
        <f t="shared" si="277"/>
        <v>7.4731356599286548E-3</v>
      </c>
      <c r="BK196">
        <f t="shared" si="278"/>
        <v>2.8999999999999998E-3</v>
      </c>
      <c r="BL196" s="473">
        <f t="shared" si="279"/>
        <v>33.545610581198424</v>
      </c>
      <c r="BM196" s="547">
        <f t="shared" si="280"/>
        <v>3.0100000000000002E-2</v>
      </c>
      <c r="BP196" s="473">
        <f t="shared" si="281"/>
        <v>30.1</v>
      </c>
      <c r="BQ196" s="547">
        <f t="shared" si="282"/>
        <v>1.197951333333333E-3</v>
      </c>
      <c r="BR196" s="547">
        <f t="shared" si="283"/>
        <v>2.4000013333333333E-3</v>
      </c>
      <c r="BS196" s="547">
        <f t="shared" si="284"/>
        <v>2.0964893139771941E-3</v>
      </c>
      <c r="BT196" s="547">
        <f t="shared" si="285"/>
        <v>2.0483636363636364E-2</v>
      </c>
      <c r="BU196" s="473">
        <f t="shared" si="286"/>
        <v>26.178078344280223</v>
      </c>
      <c r="BV196" s="180">
        <f t="shared" si="287"/>
        <v>8.9823688925478651E-2</v>
      </c>
      <c r="BW196" s="5">
        <f t="shared" si="288"/>
        <v>0.54180000000000006</v>
      </c>
      <c r="BX196" s="180">
        <f t="shared" si="289"/>
        <v>0.85778923352560266</v>
      </c>
      <c r="BY196" s="5">
        <f t="shared" si="290"/>
        <v>85.77892335256027</v>
      </c>
      <c r="CB196" s="582">
        <f t="shared" si="319"/>
        <v>-50</v>
      </c>
      <c r="CC196">
        <f t="shared" si="320"/>
        <v>-50</v>
      </c>
    </row>
    <row r="197" spans="5:81" x14ac:dyDescent="0.25">
      <c r="E197" s="177">
        <v>87</v>
      </c>
      <c r="F197" s="224">
        <f t="shared" si="321"/>
        <v>8.7000000000000008E-2</v>
      </c>
      <c r="G197" s="224"/>
      <c r="H197" s="224">
        <f t="shared" si="291"/>
        <v>0.54810000000000003</v>
      </c>
      <c r="I197" s="560">
        <f t="shared" si="292"/>
        <v>10</v>
      </c>
      <c r="J197" s="455">
        <f t="shared" si="293"/>
        <v>13.1</v>
      </c>
      <c r="K197" s="455">
        <f t="shared" si="294"/>
        <v>23.1</v>
      </c>
      <c r="L197" s="455"/>
      <c r="M197" s="224">
        <f t="shared" si="295"/>
        <v>0.5670995670995671</v>
      </c>
      <c r="N197" s="179">
        <f t="shared" si="296"/>
        <v>3.7003246753246755</v>
      </c>
      <c r="O197" s="179">
        <f t="shared" si="236"/>
        <v>0.54810000000000003</v>
      </c>
      <c r="P197" s="224">
        <f t="shared" si="297"/>
        <v>0.58735312306740883</v>
      </c>
      <c r="Q197" s="224">
        <f t="shared" si="298"/>
        <v>6.3</v>
      </c>
      <c r="R197" s="224"/>
      <c r="S197" s="179">
        <f t="shared" si="299"/>
        <v>70.017789089655352</v>
      </c>
      <c r="T197" s="555">
        <f t="shared" si="300"/>
        <v>6.3</v>
      </c>
      <c r="U197" s="224">
        <f t="shared" si="301"/>
        <v>0.21477709923664123</v>
      </c>
      <c r="V197" s="224">
        <f t="shared" si="302"/>
        <v>1.181274045801527</v>
      </c>
      <c r="W197" s="224">
        <f t="shared" si="303"/>
        <v>0.90173591282559307</v>
      </c>
      <c r="X197" s="204">
        <f t="shared" si="304"/>
        <v>350</v>
      </c>
      <c r="Y197" s="455">
        <f t="shared" si="271"/>
        <v>350</v>
      </c>
      <c r="AA197" s="224">
        <f t="shared" si="305"/>
        <v>0.29459717771406085</v>
      </c>
      <c r="AB197" s="180">
        <f t="shared" si="306"/>
        <v>1.2368583797155226</v>
      </c>
      <c r="AC197" s="180">
        <f t="shared" si="307"/>
        <v>0.1275312457636627</v>
      </c>
      <c r="AD197" s="180"/>
      <c r="AE197" s="180">
        <f t="shared" si="308"/>
        <v>1.217557251908397</v>
      </c>
      <c r="AF197" s="564">
        <f t="shared" si="309"/>
        <v>246.3949843260188</v>
      </c>
      <c r="AG197" s="547">
        <f t="shared" si="310"/>
        <v>0.1235820610687023</v>
      </c>
      <c r="AI197" s="180">
        <f t="shared" si="311"/>
        <v>0.24332117623666627</v>
      </c>
      <c r="AJ197" s="180">
        <f t="shared" si="312"/>
        <v>0.28999999999999998</v>
      </c>
      <c r="AK197" s="180">
        <f t="shared" si="313"/>
        <v>1.1407971339005822</v>
      </c>
      <c r="AM197" s="564">
        <f t="shared" si="314"/>
        <v>87.000000000000014</v>
      </c>
      <c r="AN197" s="473">
        <f t="shared" si="315"/>
        <v>246.3949843260188</v>
      </c>
      <c r="AP197">
        <f t="shared" si="316"/>
        <v>87.000000000000014</v>
      </c>
      <c r="AQ197">
        <f t="shared" si="317"/>
        <v>246.3949843260188</v>
      </c>
      <c r="AS197" s="5">
        <f t="shared" si="237"/>
        <v>4.0585241730279904</v>
      </c>
      <c r="AT197" s="5">
        <f t="shared" si="318"/>
        <v>1.5949999999999998</v>
      </c>
      <c r="AU197" s="5">
        <f t="shared" si="272"/>
        <v>2.4635241730279906</v>
      </c>
      <c r="AV197" s="5"/>
      <c r="AW197" s="180">
        <f t="shared" si="273"/>
        <v>0.3929999999999999</v>
      </c>
      <c r="AX197" s="180">
        <f t="shared" ref="AX197:AX210" si="322">0.5*L*AJ197^2*AN197*1000</f>
        <v>0.56984999999999997</v>
      </c>
      <c r="AY197" s="180">
        <f t="shared" ref="AY197:AY210" si="323">AJ197*Nps/2*(1-AW197)</f>
        <v>0.17603000000000002</v>
      </c>
      <c r="AZ197" s="180">
        <f t="shared" si="238"/>
        <v>3.2372322899505761</v>
      </c>
      <c r="BD197" s="180">
        <f t="shared" si="239"/>
        <v>0.10496237421095236</v>
      </c>
      <c r="BE197" s="180">
        <f t="shared" ref="BE197:BE210" si="324">AJ197*Nps*SQRT((1-AW197)/3)</f>
        <v>0.26089257048320352</v>
      </c>
      <c r="BG197" s="547">
        <f t="shared" si="274"/>
        <v>3.8559849999999993E-3</v>
      </c>
      <c r="BH197" s="547">
        <f t="shared" si="275"/>
        <v>1.6506E-2</v>
      </c>
      <c r="BI197" s="547">
        <f t="shared" si="276"/>
        <v>3.0799373040752351E-3</v>
      </c>
      <c r="BJ197" s="547">
        <f t="shared" si="277"/>
        <v>7.5600325862068959E-3</v>
      </c>
      <c r="BK197">
        <f t="shared" si="278"/>
        <v>2.8999999999999998E-3</v>
      </c>
      <c r="BL197" s="473">
        <f t="shared" si="279"/>
        <v>33.901954890282134</v>
      </c>
      <c r="BM197" s="547">
        <f t="shared" si="280"/>
        <v>3.0450000000000001E-2</v>
      </c>
      <c r="BP197" s="473">
        <f t="shared" si="281"/>
        <v>30.450000000000003</v>
      </c>
      <c r="BQ197" s="547">
        <f t="shared" si="282"/>
        <v>1.2118809999999999E-3</v>
      </c>
      <c r="BR197" s="547">
        <f t="shared" si="283"/>
        <v>2.3822726666666663E-3</v>
      </c>
      <c r="BS197" s="547">
        <f t="shared" si="284"/>
        <v>2.1579662916666985E-3</v>
      </c>
      <c r="BT197" s="547">
        <f t="shared" si="285"/>
        <v>2.0721818181818182E-2</v>
      </c>
      <c r="BU197" s="473">
        <f t="shared" si="286"/>
        <v>26.473938140151546</v>
      </c>
      <c r="BV197" s="180">
        <f t="shared" si="287"/>
        <v>9.0825893030433674E-2</v>
      </c>
      <c r="BW197" s="5">
        <f t="shared" si="288"/>
        <v>0.54810000000000003</v>
      </c>
      <c r="BX197" s="180">
        <f t="shared" si="289"/>
        <v>0.85784596614226216</v>
      </c>
      <c r="BY197" s="5">
        <f t="shared" si="290"/>
        <v>85.784596614226217</v>
      </c>
      <c r="CB197" s="582">
        <f t="shared" si="319"/>
        <v>-50</v>
      </c>
      <c r="CC197">
        <f t="shared" si="320"/>
        <v>-50</v>
      </c>
    </row>
    <row r="198" spans="5:81" x14ac:dyDescent="0.25">
      <c r="E198" s="177">
        <v>88</v>
      </c>
      <c r="F198" s="224">
        <f t="shared" si="321"/>
        <v>8.8000000000000009E-2</v>
      </c>
      <c r="G198" s="224"/>
      <c r="H198" s="224">
        <f t="shared" si="291"/>
        <v>0.5544</v>
      </c>
      <c r="I198" s="560">
        <f t="shared" si="292"/>
        <v>10</v>
      </c>
      <c r="J198" s="455">
        <f t="shared" si="293"/>
        <v>13.1</v>
      </c>
      <c r="K198" s="455">
        <f t="shared" si="294"/>
        <v>23.1</v>
      </c>
      <c r="L198" s="455"/>
      <c r="M198" s="224">
        <f t="shared" si="295"/>
        <v>0.5670995670995671</v>
      </c>
      <c r="N198" s="179">
        <f t="shared" si="296"/>
        <v>3.7003246753246755</v>
      </c>
      <c r="O198" s="179">
        <f t="shared" ref="O198:O261" si="325">T198*F198</f>
        <v>0.5544</v>
      </c>
      <c r="P198" s="224">
        <f t="shared" si="297"/>
        <v>0.58735312306740883</v>
      </c>
      <c r="Q198" s="224">
        <f t="shared" si="298"/>
        <v>6.3</v>
      </c>
      <c r="R198" s="224"/>
      <c r="S198" s="179">
        <f t="shared" si="299"/>
        <v>69.165734717366291</v>
      </c>
      <c r="T198" s="555">
        <f t="shared" si="300"/>
        <v>6.3</v>
      </c>
      <c r="U198" s="224">
        <f t="shared" si="301"/>
        <v>0.21724580152671755</v>
      </c>
      <c r="V198" s="224">
        <f t="shared" si="302"/>
        <v>1.1948519083969467</v>
      </c>
      <c r="W198" s="224">
        <f t="shared" si="303"/>
        <v>0.91210069343278366</v>
      </c>
      <c r="X198" s="204">
        <f t="shared" si="304"/>
        <v>350</v>
      </c>
      <c r="Y198" s="455">
        <f t="shared" si="271"/>
        <v>350</v>
      </c>
      <c r="AA198" s="224">
        <f t="shared" si="305"/>
        <v>0.29459717771406085</v>
      </c>
      <c r="AB198" s="180">
        <f t="shared" si="306"/>
        <v>1.2368583797155226</v>
      </c>
      <c r="AC198" s="180">
        <f t="shared" si="307"/>
        <v>0.1275312457636627</v>
      </c>
      <c r="AD198" s="180"/>
      <c r="AE198" s="180">
        <f t="shared" si="308"/>
        <v>1.217557251908397</v>
      </c>
      <c r="AF198" s="564">
        <f t="shared" si="309"/>
        <v>249.22711058263968</v>
      </c>
      <c r="AG198" s="547">
        <f t="shared" si="310"/>
        <v>0.1235820610687023</v>
      </c>
      <c r="AI198" s="180">
        <f t="shared" si="311"/>
        <v>0.24471557834701552</v>
      </c>
      <c r="AJ198" s="180">
        <f t="shared" si="312"/>
        <v>0.28999999999999998</v>
      </c>
      <c r="AK198" s="180">
        <f t="shared" si="313"/>
        <v>1.1424154917615084</v>
      </c>
      <c r="AM198" s="564">
        <f t="shared" si="314"/>
        <v>88.000000000000014</v>
      </c>
      <c r="AN198" s="473">
        <f t="shared" si="315"/>
        <v>249.22711058263968</v>
      </c>
      <c r="AP198">
        <f t="shared" si="316"/>
        <v>88.000000000000014</v>
      </c>
      <c r="AQ198">
        <f t="shared" si="317"/>
        <v>249.22711058263968</v>
      </c>
      <c r="AS198" s="5">
        <f t="shared" ref="AS198:AS262" si="326">1/AN198*1000</f>
        <v>4.0124045801526727</v>
      </c>
      <c r="AT198" s="5">
        <f t="shared" si="318"/>
        <v>1.5949999999999998</v>
      </c>
      <c r="AU198" s="5">
        <f t="shared" si="272"/>
        <v>2.4174045801526729</v>
      </c>
      <c r="AV198" s="5"/>
      <c r="AW198" s="180">
        <f t="shared" si="273"/>
        <v>0.39751724137931022</v>
      </c>
      <c r="AX198" s="180">
        <f t="shared" si="322"/>
        <v>0.57639999999999991</v>
      </c>
      <c r="AY198" s="180">
        <f t="shared" si="323"/>
        <v>0.17472000000000001</v>
      </c>
      <c r="AZ198" s="180">
        <f t="shared" ref="AZ198:AZ210" si="327">AX198/AY198</f>
        <v>3.2989926739926734</v>
      </c>
      <c r="BD198" s="180">
        <f t="shared" ref="BD198:BD210" si="328">AJ198*SQRT(AW198/3)</f>
        <v>0.1055638827124757</v>
      </c>
      <c r="BE198" s="180">
        <f t="shared" si="324"/>
        <v>0.25991998768851926</v>
      </c>
      <c r="BG198" s="547">
        <f t="shared" si="274"/>
        <v>3.9003066666666638E-3</v>
      </c>
      <c r="BH198" s="547">
        <f t="shared" si="275"/>
        <v>1.669572413793103E-2</v>
      </c>
      <c r="BI198" s="547">
        <f t="shared" si="276"/>
        <v>3.1153388822829958E-3</v>
      </c>
      <c r="BJ198" s="547">
        <f t="shared" si="277"/>
        <v>7.6469295124851353E-3</v>
      </c>
      <c r="BK198">
        <f t="shared" si="278"/>
        <v>2.8999999999999998E-3</v>
      </c>
      <c r="BL198" s="473">
        <f t="shared" si="279"/>
        <v>34.25829919936583</v>
      </c>
      <c r="BM198" s="547">
        <f t="shared" si="280"/>
        <v>3.0800000000000001E-2</v>
      </c>
      <c r="BP198" s="473">
        <f t="shared" si="281"/>
        <v>30.8</v>
      </c>
      <c r="BQ198" s="547">
        <f t="shared" si="282"/>
        <v>1.2258106666666658E-3</v>
      </c>
      <c r="BR198" s="547">
        <f t="shared" si="283"/>
        <v>2.3645440000000005E-3</v>
      </c>
      <c r="BS198" s="547">
        <f t="shared" si="284"/>
        <v>2.2205124134068699E-3</v>
      </c>
      <c r="BT198" s="547">
        <f t="shared" si="285"/>
        <v>2.0959999999999999E-2</v>
      </c>
      <c r="BU198" s="473">
        <f t="shared" si="286"/>
        <v>26.770867080073536</v>
      </c>
      <c r="BV198" s="180">
        <f t="shared" si="287"/>
        <v>9.182916627943935E-2</v>
      </c>
      <c r="BW198" s="5">
        <f t="shared" si="288"/>
        <v>0.5544</v>
      </c>
      <c r="BX198" s="180">
        <f t="shared" si="289"/>
        <v>0.85789999729023214</v>
      </c>
      <c r="BY198" s="5">
        <f t="shared" si="290"/>
        <v>85.789999729023208</v>
      </c>
      <c r="CB198" s="582">
        <f t="shared" si="319"/>
        <v>-50</v>
      </c>
      <c r="CC198">
        <f t="shared" si="320"/>
        <v>-50</v>
      </c>
    </row>
    <row r="199" spans="5:81" x14ac:dyDescent="0.25">
      <c r="E199" s="177">
        <v>89</v>
      </c>
      <c r="F199" s="224">
        <f t="shared" si="321"/>
        <v>8.900000000000001E-2</v>
      </c>
      <c r="G199" s="224"/>
      <c r="H199" s="224">
        <f t="shared" si="291"/>
        <v>0.56070000000000009</v>
      </c>
      <c r="I199" s="560">
        <f t="shared" si="292"/>
        <v>10</v>
      </c>
      <c r="J199" s="455">
        <f t="shared" si="293"/>
        <v>13.1</v>
      </c>
      <c r="K199" s="455">
        <f t="shared" si="294"/>
        <v>23.1</v>
      </c>
      <c r="L199" s="455"/>
      <c r="M199" s="224">
        <f t="shared" si="295"/>
        <v>0.5670995670995671</v>
      </c>
      <c r="N199" s="179">
        <f t="shared" si="296"/>
        <v>3.7003246753246755</v>
      </c>
      <c r="O199" s="179">
        <f t="shared" si="325"/>
        <v>0.56070000000000009</v>
      </c>
      <c r="P199" s="224">
        <f t="shared" si="297"/>
        <v>0.58735312306740883</v>
      </c>
      <c r="Q199" s="224">
        <f t="shared" si="298"/>
        <v>6.3</v>
      </c>
      <c r="R199" s="224"/>
      <c r="S199" s="179">
        <f t="shared" si="299"/>
        <v>68.332832877000271</v>
      </c>
      <c r="T199" s="555">
        <f t="shared" si="300"/>
        <v>6.3</v>
      </c>
      <c r="U199" s="224">
        <f t="shared" si="301"/>
        <v>0.21971450381679392</v>
      </c>
      <c r="V199" s="224">
        <f t="shared" si="302"/>
        <v>1.2084297709923666</v>
      </c>
      <c r="W199" s="224">
        <f t="shared" si="303"/>
        <v>0.92246547403997448</v>
      </c>
      <c r="X199" s="204">
        <f t="shared" si="304"/>
        <v>350</v>
      </c>
      <c r="Y199" s="455">
        <f t="shared" si="271"/>
        <v>350</v>
      </c>
      <c r="AA199" s="224">
        <f t="shared" si="305"/>
        <v>0.29459717771406085</v>
      </c>
      <c r="AB199" s="180">
        <f t="shared" si="306"/>
        <v>1.2368583797155226</v>
      </c>
      <c r="AC199" s="180">
        <f t="shared" si="307"/>
        <v>0.1275312457636627</v>
      </c>
      <c r="AD199" s="180"/>
      <c r="AE199" s="180">
        <f t="shared" si="308"/>
        <v>1.217557251908397</v>
      </c>
      <c r="AF199" s="564">
        <f t="shared" si="309"/>
        <v>252.05923683926062</v>
      </c>
      <c r="AG199" s="547">
        <f t="shared" si="310"/>
        <v>0.1235820610687023</v>
      </c>
      <c r="AI199" s="180">
        <f t="shared" si="311"/>
        <v>0.24610207997136832</v>
      </c>
      <c r="AJ199" s="180">
        <f t="shared" si="312"/>
        <v>0.28999999999999998</v>
      </c>
      <c r="AK199" s="180">
        <f t="shared" si="313"/>
        <v>1.1440338496224347</v>
      </c>
      <c r="AM199" s="564">
        <f t="shared" si="314"/>
        <v>89.000000000000014</v>
      </c>
      <c r="AN199" s="473">
        <f t="shared" si="315"/>
        <v>252.05923683926062</v>
      </c>
      <c r="AP199">
        <f t="shared" si="316"/>
        <v>89.000000000000014</v>
      </c>
      <c r="AQ199">
        <f t="shared" si="317"/>
        <v>252.05923683926062</v>
      </c>
      <c r="AS199" s="5">
        <f t="shared" si="326"/>
        <v>3.9673213826228668</v>
      </c>
      <c r="AT199" s="5">
        <f t="shared" si="318"/>
        <v>1.5949999999999998</v>
      </c>
      <c r="AU199" s="5">
        <f t="shared" si="272"/>
        <v>2.3723213826228671</v>
      </c>
      <c r="AV199" s="5"/>
      <c r="AW199" s="180">
        <f t="shared" si="273"/>
        <v>0.40203448275862058</v>
      </c>
      <c r="AX199" s="180">
        <f t="shared" si="322"/>
        <v>0.58295000000000008</v>
      </c>
      <c r="AY199" s="180">
        <f t="shared" si="323"/>
        <v>0.17341000000000001</v>
      </c>
      <c r="AZ199" s="180">
        <f t="shared" si="327"/>
        <v>3.3616861772677473</v>
      </c>
      <c r="BD199" s="180">
        <f t="shared" si="328"/>
        <v>0.10616198315153436</v>
      </c>
      <c r="BE199" s="180">
        <f t="shared" si="324"/>
        <v>0.25894375193594971</v>
      </c>
      <c r="BG199" s="547">
        <f t="shared" si="274"/>
        <v>3.9446283333333327E-3</v>
      </c>
      <c r="BH199" s="547">
        <f t="shared" si="275"/>
        <v>1.688544827586207E-2</v>
      </c>
      <c r="BI199" s="547">
        <f t="shared" si="276"/>
        <v>3.1507404604907579E-3</v>
      </c>
      <c r="BJ199" s="547">
        <f t="shared" si="277"/>
        <v>7.7338264387633764E-3</v>
      </c>
      <c r="BK199">
        <f t="shared" si="278"/>
        <v>2.8999999999999998E-3</v>
      </c>
      <c r="BL199" s="473">
        <f t="shared" si="279"/>
        <v>34.614643508449539</v>
      </c>
      <c r="BM199" s="547">
        <f t="shared" si="280"/>
        <v>3.1150000000000001E-2</v>
      </c>
      <c r="BP199" s="473">
        <f t="shared" si="281"/>
        <v>31.150000000000002</v>
      </c>
      <c r="BQ199" s="547">
        <f t="shared" si="282"/>
        <v>1.2397403333333332E-3</v>
      </c>
      <c r="BR199" s="547">
        <f t="shared" si="283"/>
        <v>2.3468153333333331E-3</v>
      </c>
      <c r="BS199" s="547">
        <f t="shared" si="284"/>
        <v>2.2841338062147536E-3</v>
      </c>
      <c r="BT199" s="547">
        <f t="shared" si="285"/>
        <v>2.1198181818181821E-2</v>
      </c>
      <c r="BU199" s="473">
        <f t="shared" si="286"/>
        <v>27.068871291063243</v>
      </c>
      <c r="BV199" s="180">
        <f t="shared" si="287"/>
        <v>9.2833514799512795E-2</v>
      </c>
      <c r="BW199" s="5">
        <f t="shared" si="288"/>
        <v>0.56070000000000009</v>
      </c>
      <c r="BX199" s="180">
        <f t="shared" si="289"/>
        <v>0.8579514092280458</v>
      </c>
      <c r="BY199" s="5">
        <f t="shared" si="290"/>
        <v>85.795140922804578</v>
      </c>
      <c r="CB199" s="582">
        <f t="shared" si="319"/>
        <v>-50</v>
      </c>
      <c r="CC199">
        <f t="shared" si="320"/>
        <v>-50</v>
      </c>
    </row>
    <row r="200" spans="5:81" x14ac:dyDescent="0.25">
      <c r="E200" s="177">
        <v>90</v>
      </c>
      <c r="F200" s="224">
        <f t="shared" si="321"/>
        <v>9.0000000000000011E-2</v>
      </c>
      <c r="G200" s="224"/>
      <c r="H200" s="224">
        <f t="shared" si="291"/>
        <v>0.56700000000000006</v>
      </c>
      <c r="I200" s="560">
        <f t="shared" si="292"/>
        <v>10</v>
      </c>
      <c r="J200" s="455">
        <f t="shared" si="293"/>
        <v>13.1</v>
      </c>
      <c r="K200" s="455">
        <f t="shared" si="294"/>
        <v>23.1</v>
      </c>
      <c r="L200" s="455"/>
      <c r="M200" s="224">
        <f t="shared" si="295"/>
        <v>0.5670995670995671</v>
      </c>
      <c r="N200" s="179">
        <f t="shared" si="296"/>
        <v>3.7003246753246755</v>
      </c>
      <c r="O200" s="179">
        <f t="shared" si="325"/>
        <v>0.56700000000000006</v>
      </c>
      <c r="P200" s="224">
        <f t="shared" si="297"/>
        <v>0.58735312306740883</v>
      </c>
      <c r="Q200" s="224">
        <f t="shared" si="298"/>
        <v>6.3</v>
      </c>
      <c r="R200" s="224"/>
      <c r="S200" s="179">
        <f t="shared" si="299"/>
        <v>67.518445162744953</v>
      </c>
      <c r="T200" s="555">
        <f t="shared" si="300"/>
        <v>6.3</v>
      </c>
      <c r="U200" s="224">
        <f t="shared" si="301"/>
        <v>0.22218320610687026</v>
      </c>
      <c r="V200" s="224">
        <f t="shared" si="302"/>
        <v>1.2220076335877865</v>
      </c>
      <c r="W200" s="224">
        <f t="shared" si="303"/>
        <v>0.93283025464716529</v>
      </c>
      <c r="X200" s="204">
        <f t="shared" si="304"/>
        <v>350</v>
      </c>
      <c r="Y200" s="455">
        <f t="shared" si="271"/>
        <v>350</v>
      </c>
      <c r="AA200" s="224">
        <f t="shared" si="305"/>
        <v>0.29459717771406085</v>
      </c>
      <c r="AB200" s="180">
        <f t="shared" si="306"/>
        <v>1.2368583797155226</v>
      </c>
      <c r="AC200" s="180">
        <f t="shared" si="307"/>
        <v>0.1275312457636627</v>
      </c>
      <c r="AD200" s="180"/>
      <c r="AE200" s="180">
        <f t="shared" si="308"/>
        <v>1.217557251908397</v>
      </c>
      <c r="AF200" s="564">
        <f t="shared" si="309"/>
        <v>254.89136309588153</v>
      </c>
      <c r="AG200" s="547">
        <f t="shared" si="310"/>
        <v>0.1235820610687023</v>
      </c>
      <c r="AI200" s="180">
        <f t="shared" si="311"/>
        <v>0.2474808138962559</v>
      </c>
      <c r="AJ200" s="180">
        <f t="shared" si="312"/>
        <v>0.28999999999999998</v>
      </c>
      <c r="AK200" s="180">
        <f t="shared" si="313"/>
        <v>1.1456522074833608</v>
      </c>
      <c r="AM200" s="564">
        <f t="shared" si="314"/>
        <v>90.000000000000014</v>
      </c>
      <c r="AN200" s="473">
        <f t="shared" si="315"/>
        <v>254.89136309588153</v>
      </c>
      <c r="AP200">
        <f t="shared" si="316"/>
        <v>90.000000000000014</v>
      </c>
      <c r="AQ200">
        <f t="shared" si="317"/>
        <v>254.89136309588153</v>
      </c>
      <c r="AS200" s="5">
        <f t="shared" si="326"/>
        <v>3.923240033927057</v>
      </c>
      <c r="AT200" s="5">
        <f t="shared" si="318"/>
        <v>1.5949999999999998</v>
      </c>
      <c r="AU200" s="5">
        <f t="shared" si="272"/>
        <v>2.3282400339270573</v>
      </c>
      <c r="AV200" s="5"/>
      <c r="AW200" s="180">
        <f t="shared" si="273"/>
        <v>0.40655172413793095</v>
      </c>
      <c r="AX200" s="180">
        <f t="shared" si="322"/>
        <v>0.58949999999999991</v>
      </c>
      <c r="AY200" s="180">
        <f t="shared" si="323"/>
        <v>0.1721</v>
      </c>
      <c r="AZ200" s="180">
        <f t="shared" si="327"/>
        <v>3.425334108076699</v>
      </c>
      <c r="BD200" s="180">
        <f t="shared" si="328"/>
        <v>0.10675673280875542</v>
      </c>
      <c r="BE200" s="180">
        <f t="shared" si="324"/>
        <v>0.25796382175284449</v>
      </c>
      <c r="BG200" s="547">
        <f t="shared" si="274"/>
        <v>3.9889499999999981E-3</v>
      </c>
      <c r="BH200" s="547">
        <f t="shared" si="275"/>
        <v>1.7075172413793104E-2</v>
      </c>
      <c r="BI200" s="547">
        <f t="shared" si="276"/>
        <v>3.1861420386985191E-3</v>
      </c>
      <c r="BJ200" s="547">
        <f t="shared" si="277"/>
        <v>7.8207233650416166E-3</v>
      </c>
      <c r="BK200">
        <f t="shared" si="278"/>
        <v>2.8999999999999998E-3</v>
      </c>
      <c r="BL200" s="473">
        <f t="shared" si="279"/>
        <v>34.970987817533235</v>
      </c>
      <c r="BM200" s="547">
        <f t="shared" si="280"/>
        <v>3.15E-2</v>
      </c>
      <c r="BP200" s="473">
        <f t="shared" si="281"/>
        <v>31.5</v>
      </c>
      <c r="BQ200" s="547">
        <f t="shared" si="282"/>
        <v>1.2536699999999995E-3</v>
      </c>
      <c r="BR200" s="547">
        <f t="shared" si="283"/>
        <v>2.3290866666666669E-3</v>
      </c>
      <c r="BS200" s="547">
        <f t="shared" si="284"/>
        <v>2.3488365623914654E-3</v>
      </c>
      <c r="BT200" s="547">
        <f t="shared" si="285"/>
        <v>2.1436363636363639E-2</v>
      </c>
      <c r="BU200" s="473">
        <f t="shared" si="286"/>
        <v>27.367956865421771</v>
      </c>
      <c r="BV200" s="180">
        <f t="shared" si="287"/>
        <v>9.3838944682955006E-2</v>
      </c>
      <c r="BW200" s="5">
        <f t="shared" si="288"/>
        <v>0.56700000000000006</v>
      </c>
      <c r="BX200" s="180">
        <f t="shared" si="289"/>
        <v>0.85800028064633016</v>
      </c>
      <c r="BY200" s="5">
        <f t="shared" si="290"/>
        <v>85.800028064633011</v>
      </c>
      <c r="CB200" s="582">
        <f t="shared" si="319"/>
        <v>-50</v>
      </c>
      <c r="CC200">
        <f t="shared" si="320"/>
        <v>-50</v>
      </c>
    </row>
    <row r="201" spans="5:81" x14ac:dyDescent="0.25">
      <c r="E201" s="177">
        <v>91</v>
      </c>
      <c r="F201" s="224">
        <f t="shared" si="321"/>
        <v>9.1000000000000011E-2</v>
      </c>
      <c r="G201" s="224"/>
      <c r="H201" s="224">
        <f t="shared" si="291"/>
        <v>0.57330000000000003</v>
      </c>
      <c r="I201" s="560">
        <f t="shared" si="292"/>
        <v>10</v>
      </c>
      <c r="J201" s="455">
        <f t="shared" si="293"/>
        <v>13.1</v>
      </c>
      <c r="K201" s="455">
        <f t="shared" si="294"/>
        <v>23.1</v>
      </c>
      <c r="L201" s="455"/>
      <c r="M201" s="224">
        <f t="shared" si="295"/>
        <v>0.5670995670995671</v>
      </c>
      <c r="N201" s="179">
        <f t="shared" si="296"/>
        <v>3.7003246753246755</v>
      </c>
      <c r="O201" s="179">
        <f t="shared" si="325"/>
        <v>0.57330000000000003</v>
      </c>
      <c r="P201" s="224">
        <f t="shared" si="297"/>
        <v>0.58735312306740883</v>
      </c>
      <c r="Q201" s="224">
        <f t="shared" si="298"/>
        <v>6.3</v>
      </c>
      <c r="R201" s="224"/>
      <c r="S201" s="179">
        <f t="shared" si="299"/>
        <v>66.721961230615747</v>
      </c>
      <c r="T201" s="555">
        <f t="shared" si="300"/>
        <v>6.3</v>
      </c>
      <c r="U201" s="224">
        <f t="shared" si="301"/>
        <v>0.22465190839694657</v>
      </c>
      <c r="V201" s="224">
        <f t="shared" si="302"/>
        <v>1.2355854961832062</v>
      </c>
      <c r="W201" s="224">
        <f t="shared" si="303"/>
        <v>0.94319503525435588</v>
      </c>
      <c r="X201" s="204">
        <f t="shared" si="304"/>
        <v>350</v>
      </c>
      <c r="Y201" s="455">
        <f t="shared" si="271"/>
        <v>350</v>
      </c>
      <c r="AA201" s="224">
        <f t="shared" si="305"/>
        <v>0.29459717771406085</v>
      </c>
      <c r="AB201" s="180">
        <f t="shared" si="306"/>
        <v>1.2368583797155226</v>
      </c>
      <c r="AC201" s="180">
        <f t="shared" si="307"/>
        <v>0.1275312457636627</v>
      </c>
      <c r="AD201" s="180"/>
      <c r="AE201" s="180">
        <f t="shared" si="308"/>
        <v>1.217557251908397</v>
      </c>
      <c r="AF201" s="564">
        <f t="shared" si="309"/>
        <v>257.72348935250244</v>
      </c>
      <c r="AG201" s="547">
        <f t="shared" si="310"/>
        <v>0.1235820610687023</v>
      </c>
      <c r="AI201" s="180">
        <f t="shared" si="311"/>
        <v>0.24885190922971182</v>
      </c>
      <c r="AJ201" s="180">
        <f t="shared" si="312"/>
        <v>0.28999999999999998</v>
      </c>
      <c r="AK201" s="180">
        <f t="shared" si="313"/>
        <v>1.1472705653442872</v>
      </c>
      <c r="AM201" s="564">
        <f t="shared" si="314"/>
        <v>91.000000000000014</v>
      </c>
      <c r="AN201" s="473">
        <f t="shared" si="315"/>
        <v>257.72348935250244</v>
      </c>
      <c r="AP201">
        <f t="shared" si="316"/>
        <v>91.000000000000014</v>
      </c>
      <c r="AQ201">
        <f t="shared" si="317"/>
        <v>257.72348935250244</v>
      </c>
      <c r="AS201" s="5">
        <f t="shared" si="326"/>
        <v>3.8801275060817044</v>
      </c>
      <c r="AT201" s="5">
        <f t="shared" si="318"/>
        <v>1.5949999999999998</v>
      </c>
      <c r="AU201" s="5">
        <f t="shared" si="272"/>
        <v>2.2851275060817047</v>
      </c>
      <c r="AV201" s="5"/>
      <c r="AW201" s="180">
        <f t="shared" si="273"/>
        <v>0.41106896551724131</v>
      </c>
      <c r="AX201" s="180">
        <f t="shared" si="322"/>
        <v>0.59604999999999997</v>
      </c>
      <c r="AY201" s="180">
        <f t="shared" si="323"/>
        <v>0.17079000000000003</v>
      </c>
      <c r="AZ201" s="180">
        <f t="shared" si="327"/>
        <v>3.4899584284794183</v>
      </c>
      <c r="BD201" s="180">
        <f t="shared" si="328"/>
        <v>0.10734818737795869</v>
      </c>
      <c r="BE201" s="180">
        <f t="shared" si="324"/>
        <v>0.25698015487581916</v>
      </c>
      <c r="BG201" s="547">
        <f t="shared" si="274"/>
        <v>4.0332716666666652E-3</v>
      </c>
      <c r="BH201" s="547">
        <f t="shared" si="275"/>
        <v>1.726489655172414E-2</v>
      </c>
      <c r="BI201" s="547">
        <f t="shared" si="276"/>
        <v>3.2215436169062803E-3</v>
      </c>
      <c r="BJ201" s="547">
        <f t="shared" si="277"/>
        <v>7.9076202913198577E-3</v>
      </c>
      <c r="BK201">
        <f t="shared" si="278"/>
        <v>2.8999999999999998E-3</v>
      </c>
      <c r="BL201" s="473">
        <f t="shared" si="279"/>
        <v>35.327332126616945</v>
      </c>
      <c r="BM201" s="547">
        <f t="shared" si="280"/>
        <v>3.1850000000000003E-2</v>
      </c>
      <c r="BP201" s="473">
        <f t="shared" si="281"/>
        <v>31.850000000000005</v>
      </c>
      <c r="BQ201" s="547">
        <f t="shared" si="282"/>
        <v>1.2675996666666662E-3</v>
      </c>
      <c r="BR201" s="547">
        <f t="shared" si="283"/>
        <v>2.3113579999999999E-3</v>
      </c>
      <c r="BS201" s="547">
        <f t="shared" si="284"/>
        <v>2.4146267401057068E-3</v>
      </c>
      <c r="BT201" s="547">
        <f t="shared" si="285"/>
        <v>2.1674545454545457E-2</v>
      </c>
      <c r="BU201" s="473">
        <f t="shared" si="286"/>
        <v>27.66812986131783</v>
      </c>
      <c r="BV201" s="180">
        <f t="shared" si="287"/>
        <v>9.4845461987934768E-2</v>
      </c>
      <c r="BW201" s="5">
        <f t="shared" si="288"/>
        <v>0.57330000000000003</v>
      </c>
      <c r="BX201" s="180">
        <f t="shared" si="289"/>
        <v>0.85804668686106045</v>
      </c>
      <c r="BY201" s="5">
        <f t="shared" si="290"/>
        <v>85.804668686106041</v>
      </c>
      <c r="CB201" s="582">
        <f t="shared" si="319"/>
        <v>-50</v>
      </c>
      <c r="CC201">
        <f t="shared" si="320"/>
        <v>-50</v>
      </c>
    </row>
    <row r="202" spans="5:81" x14ac:dyDescent="0.25">
      <c r="E202" s="177">
        <v>92</v>
      </c>
      <c r="F202" s="224">
        <f t="shared" si="321"/>
        <v>9.2000000000000012E-2</v>
      </c>
      <c r="G202" s="224"/>
      <c r="H202" s="224">
        <f t="shared" si="291"/>
        <v>0.57960000000000012</v>
      </c>
      <c r="I202" s="560">
        <f t="shared" si="292"/>
        <v>10</v>
      </c>
      <c r="J202" s="455">
        <f t="shared" si="293"/>
        <v>13.1</v>
      </c>
      <c r="K202" s="455">
        <f t="shared" si="294"/>
        <v>23.1</v>
      </c>
      <c r="L202" s="455"/>
      <c r="M202" s="224">
        <f t="shared" si="295"/>
        <v>0.5670995670995671</v>
      </c>
      <c r="N202" s="179">
        <f t="shared" si="296"/>
        <v>3.7003246753246755</v>
      </c>
      <c r="O202" s="179">
        <f t="shared" si="325"/>
        <v>0.57960000000000012</v>
      </c>
      <c r="P202" s="224">
        <f t="shared" si="297"/>
        <v>0.58735312306740883</v>
      </c>
      <c r="Q202" s="224">
        <f t="shared" si="298"/>
        <v>6.3</v>
      </c>
      <c r="R202" s="224"/>
      <c r="S202" s="179">
        <f t="shared" si="299"/>
        <v>65.942797273356589</v>
      </c>
      <c r="T202" s="555">
        <f t="shared" si="300"/>
        <v>6.3</v>
      </c>
      <c r="U202" s="224">
        <f t="shared" si="301"/>
        <v>0.22712061068702294</v>
      </c>
      <c r="V202" s="224">
        <f t="shared" si="302"/>
        <v>1.2491633587786262</v>
      </c>
      <c r="W202" s="224">
        <f t="shared" si="303"/>
        <v>0.9535598158615467</v>
      </c>
      <c r="X202" s="204">
        <f t="shared" si="304"/>
        <v>350</v>
      </c>
      <c r="Y202" s="455">
        <f t="shared" si="271"/>
        <v>350</v>
      </c>
      <c r="AA202" s="224">
        <f t="shared" si="305"/>
        <v>0.29459717771406085</v>
      </c>
      <c r="AB202" s="180">
        <f t="shared" si="306"/>
        <v>1.2368583797155226</v>
      </c>
      <c r="AC202" s="180">
        <f t="shared" si="307"/>
        <v>0.1275312457636627</v>
      </c>
      <c r="AD202" s="180"/>
      <c r="AE202" s="180">
        <f t="shared" si="308"/>
        <v>1.217557251908397</v>
      </c>
      <c r="AF202" s="564">
        <f t="shared" si="309"/>
        <v>260.55561560912332</v>
      </c>
      <c r="AG202" s="547">
        <f t="shared" si="310"/>
        <v>0.1235820610687023</v>
      </c>
      <c r="AI202" s="180">
        <f t="shared" si="311"/>
        <v>0.25021549154237477</v>
      </c>
      <c r="AJ202" s="180">
        <f t="shared" si="312"/>
        <v>0.28999999999999998</v>
      </c>
      <c r="AK202" s="180">
        <f t="shared" si="313"/>
        <v>1.1488889232052133</v>
      </c>
      <c r="AM202" s="564">
        <f t="shared" si="314"/>
        <v>92.000000000000014</v>
      </c>
      <c r="AN202" s="473">
        <f t="shared" si="315"/>
        <v>260.55561560912332</v>
      </c>
      <c r="AP202">
        <f t="shared" si="316"/>
        <v>92.000000000000014</v>
      </c>
      <c r="AQ202">
        <f t="shared" si="317"/>
        <v>260.55561560912332</v>
      </c>
      <c r="AS202" s="5">
        <f t="shared" si="326"/>
        <v>3.837952207102556</v>
      </c>
      <c r="AT202" s="5">
        <f t="shared" si="318"/>
        <v>1.5949999999999998</v>
      </c>
      <c r="AU202" s="5">
        <f t="shared" si="272"/>
        <v>2.2429522071025563</v>
      </c>
      <c r="AV202" s="5"/>
      <c r="AW202" s="180">
        <f t="shared" si="273"/>
        <v>0.41558620689655162</v>
      </c>
      <c r="AX202" s="180">
        <f t="shared" si="322"/>
        <v>0.60260000000000002</v>
      </c>
      <c r="AY202" s="180">
        <f t="shared" si="323"/>
        <v>0.16947999999999999</v>
      </c>
      <c r="AZ202" s="180">
        <f t="shared" si="327"/>
        <v>3.5555817795610105</v>
      </c>
      <c r="BD202" s="180">
        <f t="shared" si="328"/>
        <v>0.10793640102702454</v>
      </c>
      <c r="BE202" s="180">
        <f t="shared" si="324"/>
        <v>0.25599270822948583</v>
      </c>
      <c r="BG202" s="547">
        <f t="shared" si="274"/>
        <v>4.0775933333333323E-3</v>
      </c>
      <c r="BH202" s="547">
        <f t="shared" si="275"/>
        <v>1.7454620689655174E-2</v>
      </c>
      <c r="BI202" s="547">
        <f t="shared" si="276"/>
        <v>3.2569451951140415E-3</v>
      </c>
      <c r="BJ202" s="547">
        <f t="shared" si="277"/>
        <v>7.9945172175980971E-3</v>
      </c>
      <c r="BK202">
        <f t="shared" si="278"/>
        <v>2.8999999999999998E-3</v>
      </c>
      <c r="BL202" s="473">
        <f t="shared" si="279"/>
        <v>35.683676435700647</v>
      </c>
      <c r="BM202" s="547">
        <f t="shared" si="280"/>
        <v>3.2199999999999999E-2</v>
      </c>
      <c r="BP202" s="473">
        <f t="shared" si="281"/>
        <v>32.200000000000003</v>
      </c>
      <c r="BQ202" s="547">
        <f t="shared" si="282"/>
        <v>1.2815293333333329E-3</v>
      </c>
      <c r="BR202" s="547">
        <f t="shared" si="283"/>
        <v>2.2936293333333333E-3</v>
      </c>
      <c r="BS202" s="547">
        <f t="shared" si="284"/>
        <v>2.4815103639610906E-3</v>
      </c>
      <c r="BT202" s="547">
        <f t="shared" si="285"/>
        <v>2.1912727272727275E-2</v>
      </c>
      <c r="BU202" s="473">
        <f t="shared" si="286"/>
        <v>27.969396303355033</v>
      </c>
      <c r="BV202" s="180">
        <f t="shared" si="287"/>
        <v>9.5853072739055689E-2</v>
      </c>
      <c r="BW202" s="5">
        <f t="shared" si="288"/>
        <v>0.57960000000000012</v>
      </c>
      <c r="BX202" s="180">
        <f t="shared" si="289"/>
        <v>0.8580906999943636</v>
      </c>
      <c r="BY202" s="5">
        <f t="shared" si="290"/>
        <v>85.80906999943636</v>
      </c>
      <c r="CB202" s="582">
        <f t="shared" si="319"/>
        <v>-50</v>
      </c>
      <c r="CC202">
        <f t="shared" si="320"/>
        <v>-50</v>
      </c>
    </row>
    <row r="203" spans="5:81" x14ac:dyDescent="0.25">
      <c r="E203" s="177">
        <v>93</v>
      </c>
      <c r="F203" s="224">
        <f t="shared" si="321"/>
        <v>9.3000000000000013E-2</v>
      </c>
      <c r="G203" s="224"/>
      <c r="H203" s="224">
        <f t="shared" si="291"/>
        <v>0.58590000000000009</v>
      </c>
      <c r="I203" s="560">
        <f t="shared" si="292"/>
        <v>10</v>
      </c>
      <c r="J203" s="455">
        <f t="shared" si="293"/>
        <v>13.1</v>
      </c>
      <c r="K203" s="455">
        <f t="shared" si="294"/>
        <v>23.1</v>
      </c>
      <c r="L203" s="455"/>
      <c r="M203" s="224">
        <f t="shared" si="295"/>
        <v>0.5670995670995671</v>
      </c>
      <c r="N203" s="179">
        <f t="shared" si="296"/>
        <v>3.7003246753246755</v>
      </c>
      <c r="O203" s="179">
        <f t="shared" si="325"/>
        <v>0.58590000000000009</v>
      </c>
      <c r="P203" s="224">
        <f t="shared" si="297"/>
        <v>0.58735312306740883</v>
      </c>
      <c r="Q203" s="224">
        <f t="shared" si="298"/>
        <v>6.3</v>
      </c>
      <c r="R203" s="224"/>
      <c r="S203" s="179">
        <f t="shared" si="299"/>
        <v>65.18039459373415</v>
      </c>
      <c r="T203" s="555">
        <f t="shared" si="300"/>
        <v>6.3</v>
      </c>
      <c r="U203" s="224">
        <f t="shared" si="301"/>
        <v>0.22958931297709928</v>
      </c>
      <c r="V203" s="224">
        <f t="shared" si="302"/>
        <v>1.2627412213740461</v>
      </c>
      <c r="W203" s="224">
        <f t="shared" si="303"/>
        <v>0.96392459646873752</v>
      </c>
      <c r="X203" s="204">
        <f t="shared" si="304"/>
        <v>350</v>
      </c>
      <c r="Y203" s="455">
        <f t="shared" si="271"/>
        <v>350</v>
      </c>
      <c r="AA203" s="224">
        <f t="shared" si="305"/>
        <v>0.29459717771406085</v>
      </c>
      <c r="AB203" s="180">
        <f t="shared" si="306"/>
        <v>1.2368583797155226</v>
      </c>
      <c r="AC203" s="180">
        <f t="shared" si="307"/>
        <v>0.1275312457636627</v>
      </c>
      <c r="AD203" s="180"/>
      <c r="AE203" s="180">
        <f t="shared" si="308"/>
        <v>1.217557251908397</v>
      </c>
      <c r="AF203" s="564">
        <f t="shared" si="309"/>
        <v>263.38774186574426</v>
      </c>
      <c r="AG203" s="547">
        <f t="shared" si="310"/>
        <v>0.1235820610687023</v>
      </c>
      <c r="AI203" s="180">
        <f t="shared" si="311"/>
        <v>0.25157168300170768</v>
      </c>
      <c r="AJ203" s="180">
        <f t="shared" si="312"/>
        <v>0.28999999999999998</v>
      </c>
      <c r="AK203" s="180">
        <f t="shared" si="313"/>
        <v>1.1505072810661396</v>
      </c>
      <c r="AM203" s="564">
        <f t="shared" si="314"/>
        <v>93.000000000000014</v>
      </c>
      <c r="AN203" s="473">
        <f t="shared" si="315"/>
        <v>263.38774186574426</v>
      </c>
      <c r="AP203">
        <f t="shared" si="316"/>
        <v>93.000000000000014</v>
      </c>
      <c r="AQ203">
        <f t="shared" si="317"/>
        <v>263.38774186574426</v>
      </c>
      <c r="AS203" s="5">
        <f t="shared" si="326"/>
        <v>3.7966839038003775</v>
      </c>
      <c r="AT203" s="5">
        <f t="shared" si="318"/>
        <v>1.5949999999999998</v>
      </c>
      <c r="AU203" s="5">
        <f t="shared" si="272"/>
        <v>2.2016839038003777</v>
      </c>
      <c r="AV203" s="5"/>
      <c r="AW203" s="180">
        <f t="shared" si="273"/>
        <v>0.42010344827586199</v>
      </c>
      <c r="AX203" s="180">
        <f t="shared" si="322"/>
        <v>0.60915000000000008</v>
      </c>
      <c r="AY203" s="180">
        <f t="shared" si="323"/>
        <v>0.16817000000000001</v>
      </c>
      <c r="AZ203" s="180">
        <f t="shared" si="327"/>
        <v>3.6222275078789323</v>
      </c>
      <c r="BD203" s="180">
        <f t="shared" si="328"/>
        <v>0.10852142645579256</v>
      </c>
      <c r="BE203" s="180">
        <f t="shared" si="324"/>
        <v>0.25500143790444268</v>
      </c>
      <c r="BG203" s="547">
        <f t="shared" si="274"/>
        <v>4.1219149999999968E-3</v>
      </c>
      <c r="BH203" s="547">
        <f t="shared" si="275"/>
        <v>1.7644344827586207E-2</v>
      </c>
      <c r="BI203" s="547">
        <f t="shared" si="276"/>
        <v>3.2923467733218031E-3</v>
      </c>
      <c r="BJ203" s="547">
        <f t="shared" si="277"/>
        <v>8.0814141438763365E-3</v>
      </c>
      <c r="BK203">
        <f t="shared" si="278"/>
        <v>2.8999999999999998E-3</v>
      </c>
      <c r="BL203" s="473">
        <f t="shared" si="279"/>
        <v>36.040020744784343</v>
      </c>
      <c r="BM203" s="547">
        <f t="shared" si="280"/>
        <v>3.2550000000000003E-2</v>
      </c>
      <c r="BP203" s="473">
        <f t="shared" si="281"/>
        <v>32.550000000000004</v>
      </c>
      <c r="BQ203" s="547">
        <f t="shared" si="282"/>
        <v>1.2954589999999992E-3</v>
      </c>
      <c r="BR203" s="547">
        <f t="shared" si="283"/>
        <v>2.2759006666666672E-3</v>
      </c>
      <c r="BS203" s="547">
        <f t="shared" si="284"/>
        <v>2.5494934255479904E-3</v>
      </c>
      <c r="BT203" s="547">
        <f t="shared" si="285"/>
        <v>2.2150909090909096E-2</v>
      </c>
      <c r="BU203" s="473">
        <f t="shared" si="286"/>
        <v>28.271762183123752</v>
      </c>
      <c r="BV203" s="180">
        <f t="shared" si="287"/>
        <v>9.6861782927908091E-2</v>
      </c>
      <c r="BW203" s="5">
        <f t="shared" si="288"/>
        <v>0.58590000000000009</v>
      </c>
      <c r="BX203" s="180">
        <f t="shared" si="289"/>
        <v>0.85813238914379064</v>
      </c>
      <c r="BY203" s="5">
        <f t="shared" si="290"/>
        <v>85.81323891437907</v>
      </c>
      <c r="CB203" s="582">
        <f t="shared" si="319"/>
        <v>-50</v>
      </c>
      <c r="CC203">
        <f t="shared" si="320"/>
        <v>-50</v>
      </c>
    </row>
    <row r="204" spans="5:81" x14ac:dyDescent="0.25">
      <c r="E204" s="177">
        <v>94</v>
      </c>
      <c r="F204" s="224">
        <f t="shared" si="321"/>
        <v>9.4E-2</v>
      </c>
      <c r="G204" s="224"/>
      <c r="H204" s="224">
        <f t="shared" si="291"/>
        <v>0.59219999999999995</v>
      </c>
      <c r="I204" s="560">
        <f t="shared" si="292"/>
        <v>10</v>
      </c>
      <c r="J204" s="455">
        <f t="shared" si="293"/>
        <v>13.1</v>
      </c>
      <c r="K204" s="455">
        <f t="shared" si="294"/>
        <v>23.1</v>
      </c>
      <c r="L204" s="455"/>
      <c r="M204" s="224">
        <f t="shared" si="295"/>
        <v>0.5670995670995671</v>
      </c>
      <c r="N204" s="179">
        <f t="shared" si="296"/>
        <v>3.7003246753246755</v>
      </c>
      <c r="O204" s="179">
        <f t="shared" si="325"/>
        <v>0.59219999999999995</v>
      </c>
      <c r="P204" s="224">
        <f t="shared" si="297"/>
        <v>0.58735312306740883</v>
      </c>
      <c r="Q204" s="224">
        <f t="shared" si="298"/>
        <v>6.3</v>
      </c>
      <c r="R204" s="224"/>
      <c r="S204" s="179">
        <f t="shared" si="299"/>
        <v>64.434218268898562</v>
      </c>
      <c r="T204" s="555">
        <f t="shared" si="300"/>
        <v>6.3</v>
      </c>
      <c r="U204" s="224">
        <f t="shared" si="301"/>
        <v>0.23205801526717554</v>
      </c>
      <c r="V204" s="224">
        <f t="shared" si="302"/>
        <v>1.2763190839694654</v>
      </c>
      <c r="W204" s="224">
        <f t="shared" si="303"/>
        <v>0.97428937707592789</v>
      </c>
      <c r="X204" s="204">
        <f t="shared" si="304"/>
        <v>350</v>
      </c>
      <c r="Y204" s="455">
        <f t="shared" si="271"/>
        <v>350</v>
      </c>
      <c r="AA204" s="224">
        <f t="shared" si="305"/>
        <v>0.29459717771406085</v>
      </c>
      <c r="AB204" s="180">
        <f t="shared" si="306"/>
        <v>1.2368583797155226</v>
      </c>
      <c r="AC204" s="180">
        <f t="shared" si="307"/>
        <v>0.1275312457636627</v>
      </c>
      <c r="AD204" s="180"/>
      <c r="AE204" s="180">
        <f t="shared" si="308"/>
        <v>1.217557251908397</v>
      </c>
      <c r="AF204" s="564">
        <f t="shared" si="309"/>
        <v>266.21986812236509</v>
      </c>
      <c r="AG204" s="547">
        <f t="shared" si="310"/>
        <v>0.1235820610687023</v>
      </c>
      <c r="AI204" s="180">
        <f t="shared" si="311"/>
        <v>0.25292060249973936</v>
      </c>
      <c r="AJ204" s="180">
        <f t="shared" si="312"/>
        <v>0.28999999999999998</v>
      </c>
      <c r="AK204" s="180">
        <f t="shared" si="313"/>
        <v>1.1521256389270658</v>
      </c>
      <c r="AM204" s="564">
        <f t="shared" si="314"/>
        <v>94</v>
      </c>
      <c r="AN204" s="473">
        <f t="shared" si="315"/>
        <v>266.21986812236509</v>
      </c>
      <c r="AP204">
        <f t="shared" si="316"/>
        <v>94</v>
      </c>
      <c r="AQ204">
        <f t="shared" si="317"/>
        <v>266.21986812236509</v>
      </c>
      <c r="AS204" s="5">
        <f t="shared" si="326"/>
        <v>3.7562936495046295</v>
      </c>
      <c r="AT204" s="5">
        <f t="shared" si="318"/>
        <v>1.5949999999999998</v>
      </c>
      <c r="AU204" s="5">
        <f t="shared" si="272"/>
        <v>2.1612936495046298</v>
      </c>
      <c r="AV204" s="5"/>
      <c r="AW204" s="180">
        <f t="shared" si="273"/>
        <v>0.4246206896551723</v>
      </c>
      <c r="AX204" s="180">
        <f t="shared" si="322"/>
        <v>0.6156999999999998</v>
      </c>
      <c r="AY204" s="180">
        <f t="shared" si="323"/>
        <v>0.16686000000000001</v>
      </c>
      <c r="AZ204" s="180">
        <f t="shared" si="327"/>
        <v>3.6899196931559377</v>
      </c>
      <c r="BD204" s="180">
        <f t="shared" si="328"/>
        <v>0.10910331495116603</v>
      </c>
      <c r="BE204" s="180">
        <f t="shared" si="324"/>
        <v>0.25400629913448997</v>
      </c>
      <c r="BG204" s="547">
        <f t="shared" si="274"/>
        <v>4.1662366666666648E-3</v>
      </c>
      <c r="BH204" s="547">
        <f t="shared" si="275"/>
        <v>1.7834068965517237E-2</v>
      </c>
      <c r="BI204" s="547">
        <f t="shared" si="276"/>
        <v>3.3277483515295634E-3</v>
      </c>
      <c r="BJ204" s="547">
        <f t="shared" si="277"/>
        <v>8.1683110701545741E-3</v>
      </c>
      <c r="BK204">
        <f t="shared" si="278"/>
        <v>2.8999999999999998E-3</v>
      </c>
      <c r="BL204" s="473">
        <f t="shared" si="279"/>
        <v>36.396365053868038</v>
      </c>
      <c r="BM204" s="547">
        <f t="shared" si="280"/>
        <v>3.2899999999999999E-2</v>
      </c>
      <c r="BP204" s="473">
        <f t="shared" si="281"/>
        <v>32.9</v>
      </c>
      <c r="BQ204" s="547">
        <f t="shared" si="282"/>
        <v>1.3093886666666662E-3</v>
      </c>
      <c r="BR204" s="547">
        <f t="shared" si="283"/>
        <v>2.2581720000000001E-3</v>
      </c>
      <c r="BS204" s="547">
        <f t="shared" si="284"/>
        <v>2.6185818839803369E-3</v>
      </c>
      <c r="BT204" s="547">
        <f t="shared" si="285"/>
        <v>2.2389090909090907E-2</v>
      </c>
      <c r="BU204" s="473">
        <f t="shared" si="286"/>
        <v>28.575233459737909</v>
      </c>
      <c r="BV204" s="180">
        <f t="shared" si="287"/>
        <v>9.787159851360594E-2</v>
      </c>
      <c r="BW204" s="5">
        <f t="shared" si="288"/>
        <v>0.59219999999999995</v>
      </c>
      <c r="BX204" s="180">
        <f t="shared" si="289"/>
        <v>0.85817182054091412</v>
      </c>
      <c r="BY204" s="5">
        <f t="shared" si="290"/>
        <v>85.817182054091418</v>
      </c>
      <c r="CB204" s="582">
        <f t="shared" si="319"/>
        <v>-50</v>
      </c>
      <c r="CC204">
        <f t="shared" si="320"/>
        <v>-50</v>
      </c>
    </row>
    <row r="205" spans="5:81" x14ac:dyDescent="0.25">
      <c r="E205" s="177">
        <v>95</v>
      </c>
      <c r="F205" s="224">
        <f t="shared" si="321"/>
        <v>9.5000000000000001E-2</v>
      </c>
      <c r="G205" s="224"/>
      <c r="H205" s="224">
        <f t="shared" si="291"/>
        <v>0.59850000000000003</v>
      </c>
      <c r="I205" s="560">
        <f t="shared" si="292"/>
        <v>10</v>
      </c>
      <c r="J205" s="455">
        <f t="shared" si="293"/>
        <v>13.1</v>
      </c>
      <c r="K205" s="455">
        <f t="shared" si="294"/>
        <v>23.1</v>
      </c>
      <c r="L205" s="455"/>
      <c r="M205" s="224">
        <f t="shared" si="295"/>
        <v>0.5670995670995671</v>
      </c>
      <c r="N205" s="179">
        <f t="shared" si="296"/>
        <v>3.7003246753246755</v>
      </c>
      <c r="O205" s="179">
        <f t="shared" si="325"/>
        <v>0.59850000000000003</v>
      </c>
      <c r="P205" s="224">
        <f t="shared" si="297"/>
        <v>0.58735312306740883</v>
      </c>
      <c r="Q205" s="224">
        <f t="shared" si="298"/>
        <v>6.3</v>
      </c>
      <c r="R205" s="224"/>
      <c r="S205" s="179">
        <f t="shared" si="299"/>
        <v>63.703755899100024</v>
      </c>
      <c r="T205" s="555">
        <f t="shared" si="300"/>
        <v>6.3</v>
      </c>
      <c r="U205" s="224">
        <f t="shared" si="301"/>
        <v>0.23452671755725191</v>
      </c>
      <c r="V205" s="224">
        <f t="shared" si="302"/>
        <v>1.2898969465648855</v>
      </c>
      <c r="W205" s="224">
        <f t="shared" si="303"/>
        <v>0.98465415768311859</v>
      </c>
      <c r="X205" s="204">
        <f t="shared" si="304"/>
        <v>350</v>
      </c>
      <c r="Y205" s="455">
        <f t="shared" si="271"/>
        <v>350</v>
      </c>
      <c r="AA205" s="224">
        <f t="shared" si="305"/>
        <v>0.29459717771406085</v>
      </c>
      <c r="AB205" s="180">
        <f t="shared" si="306"/>
        <v>1.2368583797155226</v>
      </c>
      <c r="AC205" s="180">
        <f t="shared" si="307"/>
        <v>0.1275312457636627</v>
      </c>
      <c r="AD205" s="180"/>
      <c r="AE205" s="180">
        <f t="shared" si="308"/>
        <v>1.217557251908397</v>
      </c>
      <c r="AF205" s="564">
        <f t="shared" si="309"/>
        <v>269.05199437898602</v>
      </c>
      <c r="AG205" s="547">
        <f t="shared" si="310"/>
        <v>0.1235820610687023</v>
      </c>
      <c r="AI205" s="180">
        <f t="shared" si="311"/>
        <v>0.25426236577470651</v>
      </c>
      <c r="AJ205" s="180">
        <f t="shared" si="312"/>
        <v>0.28999999999999998</v>
      </c>
      <c r="AK205" s="180">
        <f t="shared" si="313"/>
        <v>1.1537439967879921</v>
      </c>
      <c r="AM205" s="564">
        <f t="shared" si="314"/>
        <v>95</v>
      </c>
      <c r="AN205" s="473">
        <f t="shared" si="315"/>
        <v>269.05199437898602</v>
      </c>
      <c r="AP205">
        <f t="shared" si="316"/>
        <v>95</v>
      </c>
      <c r="AQ205">
        <f t="shared" si="317"/>
        <v>269.05199437898602</v>
      </c>
      <c r="AS205" s="5">
        <f t="shared" si="326"/>
        <v>3.7167537163519486</v>
      </c>
      <c r="AT205" s="5">
        <f t="shared" si="318"/>
        <v>1.5949999999999998</v>
      </c>
      <c r="AU205" s="5">
        <f t="shared" si="272"/>
        <v>2.1217537163519489</v>
      </c>
      <c r="AV205" s="5"/>
      <c r="AW205" s="180">
        <f t="shared" si="273"/>
        <v>0.42913793103448267</v>
      </c>
      <c r="AX205" s="180">
        <f t="shared" si="322"/>
        <v>0.62224999999999997</v>
      </c>
      <c r="AY205" s="180">
        <f t="shared" si="323"/>
        <v>0.16555</v>
      </c>
      <c r="AZ205" s="180">
        <f t="shared" si="327"/>
        <v>3.7586831772878284</v>
      </c>
      <c r="BD205" s="180">
        <f t="shared" si="328"/>
        <v>0.10968211643958491</v>
      </c>
      <c r="BE205" s="180">
        <f t="shared" si="324"/>
        <v>0.25300724627303989</v>
      </c>
      <c r="BG205" s="547">
        <f t="shared" si="274"/>
        <v>4.2105583333333311E-3</v>
      </c>
      <c r="BH205" s="547">
        <f t="shared" si="275"/>
        <v>1.8023793103448271E-2</v>
      </c>
      <c r="BI205" s="547">
        <f t="shared" si="276"/>
        <v>3.3631499297373251E-3</v>
      </c>
      <c r="BJ205" s="547">
        <f t="shared" si="277"/>
        <v>8.2552079964328152E-3</v>
      </c>
      <c r="BK205">
        <f t="shared" si="278"/>
        <v>2.8999999999999998E-3</v>
      </c>
      <c r="BL205" s="473">
        <f t="shared" si="279"/>
        <v>36.752709362951748</v>
      </c>
      <c r="BM205" s="547">
        <f t="shared" si="280"/>
        <v>3.3249999999999995E-2</v>
      </c>
      <c r="BP205" s="473">
        <f t="shared" si="281"/>
        <v>33.249999999999993</v>
      </c>
      <c r="BQ205" s="547">
        <f t="shared" si="282"/>
        <v>1.3233183333333327E-3</v>
      </c>
      <c r="BR205" s="547">
        <f t="shared" si="283"/>
        <v>2.2404433333333335E-3</v>
      </c>
      <c r="BS205" s="547">
        <f t="shared" si="284"/>
        <v>2.6887816664181176E-3</v>
      </c>
      <c r="BT205" s="547">
        <f t="shared" si="285"/>
        <v>2.2627272727272729E-2</v>
      </c>
      <c r="BU205" s="473">
        <f t="shared" si="286"/>
        <v>28.879816060357513</v>
      </c>
      <c r="BV205" s="180">
        <f t="shared" si="287"/>
        <v>9.8882525423309262E-2</v>
      </c>
      <c r="BW205" s="5">
        <f t="shared" si="288"/>
        <v>0.59850000000000003</v>
      </c>
      <c r="BX205" s="180">
        <f t="shared" si="289"/>
        <v>0.8582090577000222</v>
      </c>
      <c r="BY205" s="5">
        <f t="shared" si="290"/>
        <v>85.820905770002227</v>
      </c>
      <c r="CB205" s="582">
        <f t="shared" si="319"/>
        <v>-50</v>
      </c>
      <c r="CC205">
        <f t="shared" si="320"/>
        <v>-50</v>
      </c>
    </row>
    <row r="206" spans="5:81" x14ac:dyDescent="0.25">
      <c r="E206" s="177">
        <v>96</v>
      </c>
      <c r="F206" s="224">
        <f t="shared" si="321"/>
        <v>9.6000000000000002E-2</v>
      </c>
      <c r="G206" s="224"/>
      <c r="H206" s="224">
        <f t="shared" ref="H206:H210" si="329">F206*Vout</f>
        <v>0.6048</v>
      </c>
      <c r="I206" s="560">
        <f t="shared" si="292"/>
        <v>10</v>
      </c>
      <c r="J206" s="455">
        <f t="shared" si="293"/>
        <v>13.1</v>
      </c>
      <c r="K206" s="455">
        <f t="shared" si="294"/>
        <v>23.1</v>
      </c>
      <c r="L206" s="455"/>
      <c r="M206" s="224">
        <f t="shared" si="295"/>
        <v>0.5670995670995671</v>
      </c>
      <c r="N206" s="179">
        <f t="shared" ref="N206:N210" si="330">M206*I206*Isw_max*0.5*Efficiency</f>
        <v>3.7003246753246755</v>
      </c>
      <c r="O206" s="179">
        <f t="shared" si="325"/>
        <v>0.6048</v>
      </c>
      <c r="P206" s="224">
        <f t="shared" ref="P206:P210" si="331">N206/Vout</f>
        <v>0.58735312306740883</v>
      </c>
      <c r="Q206" s="224">
        <f t="shared" si="298"/>
        <v>6.3</v>
      </c>
      <c r="R206" s="224"/>
      <c r="S206" s="179">
        <f t="shared" si="299"/>
        <v>62.988516434610993</v>
      </c>
      <c r="T206" s="555">
        <f t="shared" ref="T206:T210" si="332">MIN(Vout, S206)</f>
        <v>6.3</v>
      </c>
      <c r="U206" s="224">
        <f t="shared" si="301"/>
        <v>0.23699541984732825</v>
      </c>
      <c r="V206" s="224">
        <f t="shared" ref="V206:V210" si="333">L*U206/I206*1000000</f>
        <v>1.3034748091603054</v>
      </c>
      <c r="W206" s="224">
        <f t="shared" si="303"/>
        <v>0.99501893829030963</v>
      </c>
      <c r="X206" s="204">
        <f t="shared" si="304"/>
        <v>350</v>
      </c>
      <c r="Y206" s="455">
        <f t="shared" si="271"/>
        <v>350</v>
      </c>
      <c r="AA206" s="224">
        <f t="shared" si="305"/>
        <v>0.29459717771406085</v>
      </c>
      <c r="AB206" s="180">
        <f t="shared" ref="AB206:AB210" si="334">L*AA206/J206*1000000</f>
        <v>1.2368583797155226</v>
      </c>
      <c r="AC206" s="180">
        <f t="shared" ref="AC206:AC210" si="335">0.5*AB206*AA206*Nps*X206/1000</f>
        <v>0.1275312457636627</v>
      </c>
      <c r="AD206" s="180"/>
      <c r="AE206" s="180">
        <f t="shared" si="308"/>
        <v>1.217557251908397</v>
      </c>
      <c r="AF206" s="564">
        <f t="shared" ref="AF206:AF210" si="336">MAX(10000,F206/(0.5*AE206/1000000*Isw_min*Nps))/1000</f>
        <v>271.88412063560691</v>
      </c>
      <c r="AG206" s="547">
        <f t="shared" si="310"/>
        <v>0.1235820610687023</v>
      </c>
      <c r="AI206" s="180">
        <f t="shared" si="311"/>
        <v>0.25559708552694832</v>
      </c>
      <c r="AJ206" s="180">
        <f t="shared" ref="AJ206:AJ210" si="337">MAX(IF(F206&gt;AC206,U206,AI206),Isw_min)</f>
        <v>0.28999999999999998</v>
      </c>
      <c r="AK206" s="180">
        <f t="shared" ref="AK206:AK210" si="338">IF(F206&gt;AG206, (AJ206-Isw_min)/1.08*0.8+1.2, AF206*0.2/350+1)</f>
        <v>1.1553623546489182</v>
      </c>
      <c r="AM206" s="564">
        <f t="shared" si="314"/>
        <v>96</v>
      </c>
      <c r="AN206" s="473">
        <f t="shared" si="315"/>
        <v>271.88412063560691</v>
      </c>
      <c r="AP206">
        <f t="shared" si="316"/>
        <v>96</v>
      </c>
      <c r="AQ206">
        <f t="shared" si="317"/>
        <v>271.88412063560691</v>
      </c>
      <c r="AS206" s="5">
        <f t="shared" si="326"/>
        <v>3.6780375318066163</v>
      </c>
      <c r="AT206" s="5">
        <f t="shared" si="318"/>
        <v>1.5949999999999998</v>
      </c>
      <c r="AU206" s="5">
        <f t="shared" si="272"/>
        <v>2.0830375318066165</v>
      </c>
      <c r="AV206" s="5"/>
      <c r="AW206" s="180">
        <f t="shared" si="273"/>
        <v>0.43365517241379298</v>
      </c>
      <c r="AX206" s="180">
        <f t="shared" si="322"/>
        <v>0.62879999999999991</v>
      </c>
      <c r="AY206" s="180">
        <f t="shared" si="323"/>
        <v>0.16424000000000005</v>
      </c>
      <c r="AZ206" s="180">
        <f t="shared" si="327"/>
        <v>3.8285435947394042</v>
      </c>
      <c r="BD206" s="180">
        <f t="shared" si="328"/>
        <v>0.11025787953701992</v>
      </c>
      <c r="BE206" s="180">
        <f t="shared" si="324"/>
        <v>0.25200423276868456</v>
      </c>
      <c r="BG206" s="547">
        <f t="shared" si="274"/>
        <v>4.2548799999999982E-3</v>
      </c>
      <c r="BH206" s="547">
        <f t="shared" si="275"/>
        <v>1.8213517241379307E-2</v>
      </c>
      <c r="BI206" s="547">
        <f t="shared" si="276"/>
        <v>3.3985515079450863E-3</v>
      </c>
      <c r="BJ206" s="547">
        <f t="shared" si="277"/>
        <v>8.3421049227110546E-3</v>
      </c>
      <c r="BK206">
        <f t="shared" si="278"/>
        <v>2.8999999999999998E-3</v>
      </c>
      <c r="BL206" s="473">
        <f t="shared" si="279"/>
        <v>37.109053672035444</v>
      </c>
      <c r="BM206" s="547">
        <f t="shared" si="280"/>
        <v>3.3599999999999998E-2</v>
      </c>
      <c r="BP206" s="473">
        <f t="shared" si="281"/>
        <v>33.6</v>
      </c>
      <c r="BQ206" s="547">
        <f t="shared" si="282"/>
        <v>1.3372479999999994E-3</v>
      </c>
      <c r="BR206" s="547">
        <f t="shared" si="283"/>
        <v>2.2227146666666674E-3</v>
      </c>
      <c r="BS206" s="547">
        <f t="shared" si="284"/>
        <v>2.7600986685759254E-3</v>
      </c>
      <c r="BT206" s="547">
        <f t="shared" si="285"/>
        <v>2.286545454545454E-2</v>
      </c>
      <c r="BU206" s="473">
        <f t="shared" si="286"/>
        <v>29.185515880697132</v>
      </c>
      <c r="BV206" s="180">
        <f t="shared" si="287"/>
        <v>9.9894569552732571E-2</v>
      </c>
      <c r="BW206" s="5">
        <f t="shared" si="288"/>
        <v>0.6048</v>
      </c>
      <c r="BX206" s="180">
        <f t="shared" si="289"/>
        <v>0.85824416155763006</v>
      </c>
      <c r="BY206" s="5">
        <f t="shared" si="290"/>
        <v>85.824416155763004</v>
      </c>
      <c r="CB206" s="582">
        <f t="shared" si="319"/>
        <v>-50</v>
      </c>
      <c r="CC206">
        <f t="shared" si="320"/>
        <v>-50</v>
      </c>
    </row>
    <row r="207" spans="5:81" x14ac:dyDescent="0.25">
      <c r="E207" s="177">
        <v>97</v>
      </c>
      <c r="F207" s="224">
        <f t="shared" ref="F207:F210" si="339">IF(PLOT_TYPE=1, E207/100*Iout_max, min_I*EXP(N207*rr/100))</f>
        <v>9.7000000000000003E-2</v>
      </c>
      <c r="G207" s="224"/>
      <c r="H207" s="224">
        <f t="shared" si="329"/>
        <v>0.61109999999999998</v>
      </c>
      <c r="I207" s="560">
        <f t="shared" si="292"/>
        <v>10</v>
      </c>
      <c r="J207" s="455">
        <f t="shared" si="293"/>
        <v>13.1</v>
      </c>
      <c r="K207" s="455">
        <f t="shared" si="294"/>
        <v>23.1</v>
      </c>
      <c r="L207" s="455"/>
      <c r="M207" s="224">
        <f t="shared" si="295"/>
        <v>0.5670995670995671</v>
      </c>
      <c r="N207" s="179">
        <f t="shared" si="330"/>
        <v>3.7003246753246755</v>
      </c>
      <c r="O207" s="179">
        <f t="shared" si="325"/>
        <v>0.61109999999999998</v>
      </c>
      <c r="P207" s="224">
        <f t="shared" si="331"/>
        <v>0.58735312306740883</v>
      </c>
      <c r="Q207" s="224">
        <f t="shared" si="298"/>
        <v>6.3</v>
      </c>
      <c r="R207" s="224"/>
      <c r="S207" s="179">
        <f t="shared" si="299"/>
        <v>62.28802907520943</v>
      </c>
      <c r="T207" s="555">
        <f t="shared" si="332"/>
        <v>6.3</v>
      </c>
      <c r="U207" s="224">
        <f t="shared" si="301"/>
        <v>0.23946412213740456</v>
      </c>
      <c r="V207" s="224">
        <f t="shared" si="333"/>
        <v>1.3170526717557252</v>
      </c>
      <c r="W207" s="224">
        <f t="shared" si="303"/>
        <v>1.0053837188975001</v>
      </c>
      <c r="X207" s="204">
        <f t="shared" si="304"/>
        <v>350</v>
      </c>
      <c r="Y207" s="455">
        <f t="shared" si="271"/>
        <v>350</v>
      </c>
      <c r="AA207" s="224">
        <f t="shared" si="305"/>
        <v>0.29459717771406085</v>
      </c>
      <c r="AB207" s="180">
        <f t="shared" si="334"/>
        <v>1.2368583797155226</v>
      </c>
      <c r="AC207" s="180">
        <f t="shared" si="335"/>
        <v>0.1275312457636627</v>
      </c>
      <c r="AD207" s="180"/>
      <c r="AE207" s="180">
        <f t="shared" si="308"/>
        <v>1.217557251908397</v>
      </c>
      <c r="AF207" s="564">
        <f t="shared" si="336"/>
        <v>274.71624689222784</v>
      </c>
      <c r="AG207" s="547">
        <f t="shared" si="310"/>
        <v>0.1235820610687023</v>
      </c>
      <c r="AI207" s="180">
        <f t="shared" si="311"/>
        <v>0.25692487152938231</v>
      </c>
      <c r="AJ207" s="180">
        <f t="shared" si="337"/>
        <v>0.28999999999999998</v>
      </c>
      <c r="AK207" s="180">
        <f t="shared" si="338"/>
        <v>1.1569807125098446</v>
      </c>
      <c r="AM207" s="564">
        <f t="shared" si="314"/>
        <v>97</v>
      </c>
      <c r="AN207" s="473">
        <f t="shared" si="315"/>
        <v>274.71624689222784</v>
      </c>
      <c r="AP207">
        <f t="shared" si="316"/>
        <v>97</v>
      </c>
      <c r="AQ207">
        <f t="shared" si="317"/>
        <v>274.71624689222784</v>
      </c>
      <c r="AS207" s="5">
        <f t="shared" si="326"/>
        <v>3.6401196191075789</v>
      </c>
      <c r="AT207" s="5">
        <f t="shared" si="318"/>
        <v>1.5949999999999998</v>
      </c>
      <c r="AU207" s="5">
        <f t="shared" si="272"/>
        <v>2.0451196191075791</v>
      </c>
      <c r="AV207" s="5"/>
      <c r="AW207" s="180">
        <f t="shared" si="273"/>
        <v>0.43817241379310334</v>
      </c>
      <c r="AX207" s="180">
        <f t="shared" si="322"/>
        <v>0.63534999999999986</v>
      </c>
      <c r="AY207" s="180">
        <f t="shared" si="323"/>
        <v>0.16293000000000002</v>
      </c>
      <c r="AZ207" s="180">
        <f t="shared" si="327"/>
        <v>3.8995274044067991</v>
      </c>
      <c r="BD207" s="180">
        <f t="shared" si="328"/>
        <v>0.11083065159662885</v>
      </c>
      <c r="BE207" s="180">
        <f t="shared" si="324"/>
        <v>0.25099721113988499</v>
      </c>
      <c r="BG207" s="547">
        <f t="shared" si="274"/>
        <v>4.2992016666666645E-3</v>
      </c>
      <c r="BH207" s="547">
        <f t="shared" si="275"/>
        <v>1.8403241379310344E-2</v>
      </c>
      <c r="BI207" s="547">
        <f t="shared" si="276"/>
        <v>3.4339530861528479E-3</v>
      </c>
      <c r="BJ207" s="547">
        <f t="shared" si="277"/>
        <v>8.4290018489892957E-3</v>
      </c>
      <c r="BK207">
        <f t="shared" si="278"/>
        <v>2.8999999999999998E-3</v>
      </c>
      <c r="BL207" s="473">
        <f t="shared" si="279"/>
        <v>37.465397981119153</v>
      </c>
      <c r="BM207" s="547">
        <f t="shared" si="280"/>
        <v>3.3950000000000001E-2</v>
      </c>
      <c r="BP207" s="473">
        <f t="shared" si="281"/>
        <v>33.950000000000003</v>
      </c>
      <c r="BQ207" s="547">
        <f t="shared" si="282"/>
        <v>1.3511776666666662E-3</v>
      </c>
      <c r="BR207" s="547">
        <f t="shared" si="283"/>
        <v>2.2049860000000004E-3</v>
      </c>
      <c r="BS207" s="547">
        <f t="shared" si="284"/>
        <v>2.8325387552182394E-3</v>
      </c>
      <c r="BT207" s="547">
        <f t="shared" si="285"/>
        <v>2.3103636363636361E-2</v>
      </c>
      <c r="BU207" s="473">
        <f t="shared" si="286"/>
        <v>29.492338785521266</v>
      </c>
      <c r="BV207" s="180">
        <f t="shared" si="287"/>
        <v>0.10090773676664042</v>
      </c>
      <c r="BW207" s="5">
        <f t="shared" si="288"/>
        <v>0.61109999999999998</v>
      </c>
      <c r="BX207" s="180">
        <f t="shared" si="289"/>
        <v>0.85827719060345997</v>
      </c>
      <c r="BY207" s="5">
        <f t="shared" si="290"/>
        <v>85.827719060345999</v>
      </c>
      <c r="CB207" s="582">
        <f t="shared" si="319"/>
        <v>-50</v>
      </c>
      <c r="CC207">
        <f t="shared" si="320"/>
        <v>-50</v>
      </c>
    </row>
    <row r="208" spans="5:81" x14ac:dyDescent="0.25">
      <c r="E208" s="177">
        <v>98</v>
      </c>
      <c r="F208" s="224">
        <f t="shared" si="339"/>
        <v>9.8000000000000004E-2</v>
      </c>
      <c r="G208" s="224"/>
      <c r="H208" s="224">
        <f t="shared" si="329"/>
        <v>0.61740000000000006</v>
      </c>
      <c r="I208" s="560">
        <f t="shared" si="292"/>
        <v>10</v>
      </c>
      <c r="J208" s="455">
        <f t="shared" si="293"/>
        <v>13.1</v>
      </c>
      <c r="K208" s="455">
        <f t="shared" si="294"/>
        <v>23.1</v>
      </c>
      <c r="L208" s="455"/>
      <c r="M208" s="224">
        <f t="shared" si="295"/>
        <v>0.5670995670995671</v>
      </c>
      <c r="N208" s="179">
        <f t="shared" si="330"/>
        <v>3.7003246753246755</v>
      </c>
      <c r="O208" s="179">
        <f t="shared" si="325"/>
        <v>0.61740000000000006</v>
      </c>
      <c r="P208" s="224">
        <f t="shared" si="331"/>
        <v>0.58735312306740883</v>
      </c>
      <c r="Q208" s="224">
        <f t="shared" si="298"/>
        <v>6.3</v>
      </c>
      <c r="R208" s="224"/>
      <c r="S208" s="179">
        <f t="shared" si="299"/>
        <v>61.601842237041105</v>
      </c>
      <c r="T208" s="555">
        <f t="shared" si="332"/>
        <v>6.3</v>
      </c>
      <c r="U208" s="224">
        <f t="shared" si="301"/>
        <v>0.24193282442748093</v>
      </c>
      <c r="V208" s="224">
        <f t="shared" si="333"/>
        <v>1.3306305343511451</v>
      </c>
      <c r="W208" s="224">
        <f t="shared" si="303"/>
        <v>1.015748499504691</v>
      </c>
      <c r="X208" s="204">
        <f t="shared" si="304"/>
        <v>350</v>
      </c>
      <c r="Y208" s="455">
        <f t="shared" si="271"/>
        <v>350</v>
      </c>
      <c r="AA208" s="224">
        <f t="shared" si="305"/>
        <v>0.29459717771406085</v>
      </c>
      <c r="AB208" s="180">
        <f t="shared" si="334"/>
        <v>1.2368583797155226</v>
      </c>
      <c r="AC208" s="180">
        <f t="shared" si="335"/>
        <v>0.1275312457636627</v>
      </c>
      <c r="AD208" s="180"/>
      <c r="AE208" s="180">
        <f t="shared" si="308"/>
        <v>1.217557251908397</v>
      </c>
      <c r="AF208" s="564">
        <f t="shared" si="336"/>
        <v>277.54837314884878</v>
      </c>
      <c r="AG208" s="547">
        <f t="shared" si="310"/>
        <v>0.1235820610687023</v>
      </c>
      <c r="AI208" s="180">
        <f t="shared" si="311"/>
        <v>0.25824583073286794</v>
      </c>
      <c r="AJ208" s="180">
        <f t="shared" si="337"/>
        <v>0.28999999999999998</v>
      </c>
      <c r="AK208" s="180">
        <f t="shared" si="338"/>
        <v>1.1585990703707707</v>
      </c>
      <c r="AM208" s="564">
        <f t="shared" si="314"/>
        <v>98</v>
      </c>
      <c r="AN208" s="473">
        <f t="shared" si="315"/>
        <v>277.54837314884878</v>
      </c>
      <c r="AP208">
        <f t="shared" si="316"/>
        <v>98</v>
      </c>
      <c r="AQ208">
        <f t="shared" si="317"/>
        <v>277.54837314884878</v>
      </c>
      <c r="AS208" s="5">
        <f t="shared" si="326"/>
        <v>3.6029755413615829</v>
      </c>
      <c r="AT208" s="5">
        <f t="shared" si="318"/>
        <v>1.5949999999999998</v>
      </c>
      <c r="AU208" s="5">
        <f t="shared" si="272"/>
        <v>2.0079755413615832</v>
      </c>
      <c r="AV208" s="5"/>
      <c r="AW208" s="180">
        <f t="shared" si="273"/>
        <v>0.44268965517241371</v>
      </c>
      <c r="AX208" s="180">
        <f t="shared" si="322"/>
        <v>0.64190000000000003</v>
      </c>
      <c r="AY208" s="180">
        <f t="shared" si="323"/>
        <v>0.16161999999999999</v>
      </c>
      <c r="AZ208" s="180">
        <f t="shared" si="327"/>
        <v>3.9716619230293286</v>
      </c>
      <c r="BD208" s="180">
        <f t="shared" si="328"/>
        <v>0.11140047875420762</v>
      </c>
      <c r="BE208" s="180">
        <f t="shared" si="324"/>
        <v>0.24998613294874311</v>
      </c>
      <c r="BG208" s="547">
        <f t="shared" si="274"/>
        <v>4.3435233333333316E-3</v>
      </c>
      <c r="BH208" s="547">
        <f t="shared" si="275"/>
        <v>1.8592965517241381E-2</v>
      </c>
      <c r="BI208" s="547">
        <f t="shared" si="276"/>
        <v>3.4693546643606095E-3</v>
      </c>
      <c r="BJ208" s="547">
        <f t="shared" si="277"/>
        <v>8.5158987752675368E-3</v>
      </c>
      <c r="BK208">
        <f t="shared" si="278"/>
        <v>2.8999999999999998E-3</v>
      </c>
      <c r="BL208" s="473">
        <f t="shared" si="279"/>
        <v>37.821742290202863</v>
      </c>
      <c r="BM208" s="547">
        <f t="shared" si="280"/>
        <v>3.4299999999999997E-2</v>
      </c>
      <c r="BP208" s="473">
        <f t="shared" si="281"/>
        <v>34.299999999999997</v>
      </c>
      <c r="BQ208" s="547">
        <f t="shared" si="282"/>
        <v>1.3651073333333331E-3</v>
      </c>
      <c r="BR208" s="547">
        <f t="shared" si="283"/>
        <v>2.1872573333333333E-3</v>
      </c>
      <c r="BS208" s="547">
        <f t="shared" si="284"/>
        <v>2.9061077606417859E-3</v>
      </c>
      <c r="BT208" s="547">
        <f t="shared" si="285"/>
        <v>2.3341818181818182E-2</v>
      </c>
      <c r="BU208" s="473">
        <f t="shared" si="286"/>
        <v>29.800290609126634</v>
      </c>
      <c r="BV208" s="180">
        <f t="shared" si="287"/>
        <v>0.1019220328993295</v>
      </c>
      <c r="BW208" s="5">
        <f t="shared" si="288"/>
        <v>0.61740000000000006</v>
      </c>
      <c r="BX208" s="180">
        <f t="shared" si="289"/>
        <v>0.85830820100349459</v>
      </c>
      <c r="BY208" s="5">
        <f t="shared" si="290"/>
        <v>85.830820100349456</v>
      </c>
      <c r="CB208" s="582">
        <f t="shared" si="319"/>
        <v>-50</v>
      </c>
      <c r="CC208">
        <f t="shared" si="320"/>
        <v>-50</v>
      </c>
    </row>
    <row r="209" spans="5:83" x14ac:dyDescent="0.25">
      <c r="E209" s="177">
        <v>99</v>
      </c>
      <c r="F209" s="224">
        <f t="shared" si="339"/>
        <v>9.9000000000000005E-2</v>
      </c>
      <c r="G209" s="224"/>
      <c r="H209" s="224">
        <f t="shared" si="329"/>
        <v>0.62370000000000003</v>
      </c>
      <c r="I209" s="560">
        <f t="shared" si="292"/>
        <v>10</v>
      </c>
      <c r="J209" s="455">
        <f t="shared" si="293"/>
        <v>13.1</v>
      </c>
      <c r="K209" s="455">
        <f t="shared" si="294"/>
        <v>23.1</v>
      </c>
      <c r="L209" s="455"/>
      <c r="M209" s="224">
        <f t="shared" si="295"/>
        <v>0.5670995670995671</v>
      </c>
      <c r="N209" s="179">
        <f t="shared" si="330"/>
        <v>3.7003246753246755</v>
      </c>
      <c r="O209" s="179">
        <f t="shared" si="325"/>
        <v>0.62370000000000003</v>
      </c>
      <c r="P209" s="224">
        <f t="shared" si="331"/>
        <v>0.58735312306740883</v>
      </c>
      <c r="Q209" s="224">
        <f t="shared" si="298"/>
        <v>6.3</v>
      </c>
      <c r="R209" s="224"/>
      <c r="S209" s="179">
        <f t="shared" si="299"/>
        <v>60.92952258209592</v>
      </c>
      <c r="T209" s="555">
        <f t="shared" si="332"/>
        <v>6.3</v>
      </c>
      <c r="U209" s="224">
        <f t="shared" si="301"/>
        <v>0.24440152671755727</v>
      </c>
      <c r="V209" s="224">
        <f t="shared" si="333"/>
        <v>1.344208396946565</v>
      </c>
      <c r="W209" s="224">
        <f t="shared" si="303"/>
        <v>1.0261132801118817</v>
      </c>
      <c r="X209" s="204">
        <f t="shared" si="304"/>
        <v>350</v>
      </c>
      <c r="Y209" s="455">
        <f t="shared" si="271"/>
        <v>350</v>
      </c>
      <c r="AA209" s="224">
        <f t="shared" si="305"/>
        <v>0.29459717771406085</v>
      </c>
      <c r="AB209" s="180">
        <f t="shared" si="334"/>
        <v>1.2368583797155226</v>
      </c>
      <c r="AC209" s="180">
        <f t="shared" si="335"/>
        <v>0.1275312457636627</v>
      </c>
      <c r="AD209" s="180"/>
      <c r="AE209" s="180">
        <f t="shared" si="308"/>
        <v>1.217557251908397</v>
      </c>
      <c r="AF209" s="564">
        <f t="shared" si="336"/>
        <v>280.38049940546961</v>
      </c>
      <c r="AG209" s="547">
        <f t="shared" si="310"/>
        <v>0.1235820610687023</v>
      </c>
      <c r="AI209" s="180">
        <f t="shared" si="311"/>
        <v>0.25956006736674375</v>
      </c>
      <c r="AJ209" s="180">
        <f t="shared" si="337"/>
        <v>0.28999999999999998</v>
      </c>
      <c r="AK209" s="180">
        <f t="shared" si="338"/>
        <v>1.160217428231697</v>
      </c>
      <c r="AM209" s="564">
        <f t="shared" si="314"/>
        <v>99</v>
      </c>
      <c r="AN209" s="473">
        <f t="shared" si="315"/>
        <v>280.38049940546961</v>
      </c>
      <c r="AP209">
        <f t="shared" si="316"/>
        <v>99</v>
      </c>
      <c r="AQ209">
        <f t="shared" si="317"/>
        <v>280.38049940546961</v>
      </c>
      <c r="AS209" s="5">
        <f t="shared" si="326"/>
        <v>3.566581849024598</v>
      </c>
      <c r="AT209" s="5">
        <f t="shared" si="318"/>
        <v>1.5949999999999998</v>
      </c>
      <c r="AU209" s="5">
        <f t="shared" si="272"/>
        <v>1.9715818490245982</v>
      </c>
      <c r="AV209" s="5"/>
      <c r="AW209" s="180">
        <f t="shared" si="273"/>
        <v>0.44720689655172396</v>
      </c>
      <c r="AX209" s="180">
        <f t="shared" si="322"/>
        <v>0.64844999999999986</v>
      </c>
      <c r="AY209" s="180">
        <f t="shared" si="323"/>
        <v>0.16031000000000004</v>
      </c>
      <c r="AZ209" s="180">
        <f t="shared" si="327"/>
        <v>4.0449753602395342</v>
      </c>
      <c r="BD209" s="180">
        <f t="shared" si="328"/>
        <v>0.11196740597155939</v>
      </c>
      <c r="BE209" s="180">
        <f t="shared" si="324"/>
        <v>0.24897094877381445</v>
      </c>
      <c r="BG209" s="547">
        <f t="shared" si="274"/>
        <v>4.3878449999999979E-3</v>
      </c>
      <c r="BH209" s="547">
        <f t="shared" si="275"/>
        <v>1.8782689655172408E-2</v>
      </c>
      <c r="BI209" s="547">
        <f t="shared" si="276"/>
        <v>3.5047562425683698E-3</v>
      </c>
      <c r="BJ209" s="547">
        <f t="shared" si="277"/>
        <v>8.6027957015457762E-3</v>
      </c>
      <c r="BK209">
        <f t="shared" si="278"/>
        <v>2.8999999999999998E-3</v>
      </c>
      <c r="BL209" s="473">
        <f t="shared" si="279"/>
        <v>38.178086599286551</v>
      </c>
      <c r="BM209" s="547">
        <f t="shared" si="280"/>
        <v>3.465E-2</v>
      </c>
      <c r="BP209" s="473">
        <f t="shared" si="281"/>
        <v>34.65</v>
      </c>
      <c r="BQ209" s="547">
        <f t="shared" si="282"/>
        <v>1.3790369999999994E-3</v>
      </c>
      <c r="BR209" s="547">
        <f t="shared" si="283"/>
        <v>2.1695286666666672E-3</v>
      </c>
      <c r="BS209" s="547">
        <f t="shared" si="284"/>
        <v>2.9808114891454953E-3</v>
      </c>
      <c r="BT209" s="547">
        <f t="shared" si="285"/>
        <v>2.3579999999999993E-2</v>
      </c>
      <c r="BU209" s="473">
        <f t="shared" si="286"/>
        <v>30.109377155812155</v>
      </c>
      <c r="BV209" s="180">
        <f t="shared" si="287"/>
        <v>0.10293746375509871</v>
      </c>
      <c r="BW209" s="5">
        <f t="shared" si="288"/>
        <v>0.62370000000000003</v>
      </c>
      <c r="BX209" s="180">
        <f t="shared" si="289"/>
        <v>0.85833724671565781</v>
      </c>
      <c r="BY209" s="5">
        <f t="shared" si="290"/>
        <v>85.833724671565776</v>
      </c>
      <c r="CB209" s="582">
        <f t="shared" si="319"/>
        <v>-50</v>
      </c>
      <c r="CC209">
        <f t="shared" si="320"/>
        <v>-50</v>
      </c>
    </row>
    <row r="210" spans="5:83" x14ac:dyDescent="0.25">
      <c r="E210" s="177">
        <v>100</v>
      </c>
      <c r="F210" s="224">
        <f t="shared" si="339"/>
        <v>0.1</v>
      </c>
      <c r="G210" s="224"/>
      <c r="H210" s="224">
        <f t="shared" si="329"/>
        <v>0.63</v>
      </c>
      <c r="I210" s="560">
        <f t="shared" si="292"/>
        <v>10</v>
      </c>
      <c r="J210" s="455">
        <f t="shared" si="293"/>
        <v>13.1</v>
      </c>
      <c r="K210" s="455">
        <f t="shared" si="294"/>
        <v>23.1</v>
      </c>
      <c r="L210" s="455"/>
      <c r="M210" s="224">
        <f t="shared" si="295"/>
        <v>0.5670995670995671</v>
      </c>
      <c r="N210" s="179">
        <f t="shared" si="330"/>
        <v>3.7003246753246755</v>
      </c>
      <c r="O210" s="179">
        <f t="shared" si="325"/>
        <v>0.63</v>
      </c>
      <c r="P210" s="224">
        <f t="shared" si="331"/>
        <v>0.58735312306740883</v>
      </c>
      <c r="Q210" s="224">
        <f t="shared" si="298"/>
        <v>6.3</v>
      </c>
      <c r="R210" s="224"/>
      <c r="S210" s="179">
        <f t="shared" si="299"/>
        <v>60.270654105915845</v>
      </c>
      <c r="T210" s="555">
        <f t="shared" si="332"/>
        <v>6.3</v>
      </c>
      <c r="U210" s="224">
        <f t="shared" si="301"/>
        <v>0.24687022900763358</v>
      </c>
      <c r="V210" s="224">
        <f t="shared" si="333"/>
        <v>1.3577862595419847</v>
      </c>
      <c r="W210" s="224">
        <f t="shared" si="303"/>
        <v>1.0364780607190722</v>
      </c>
      <c r="X210" s="204">
        <f t="shared" si="304"/>
        <v>350</v>
      </c>
      <c r="Y210" s="455">
        <f t="shared" si="271"/>
        <v>350</v>
      </c>
      <c r="AA210" s="224">
        <f t="shared" si="305"/>
        <v>0.29459717771406085</v>
      </c>
      <c r="AB210" s="180">
        <f t="shared" si="334"/>
        <v>1.2368583797155226</v>
      </c>
      <c r="AC210" s="180">
        <f t="shared" si="335"/>
        <v>0.1275312457636627</v>
      </c>
      <c r="AD210" s="180"/>
      <c r="AE210" s="180">
        <f t="shared" si="308"/>
        <v>1.217557251908397</v>
      </c>
      <c r="AF210" s="564">
        <f t="shared" si="336"/>
        <v>283.21262566209055</v>
      </c>
      <c r="AG210" s="547">
        <f t="shared" si="310"/>
        <v>0.1235820610687023</v>
      </c>
      <c r="AI210" s="180">
        <f t="shared" si="311"/>
        <v>0.26086768303480606</v>
      </c>
      <c r="AJ210" s="180">
        <f t="shared" si="337"/>
        <v>0.28999999999999998</v>
      </c>
      <c r="AK210" s="180">
        <f t="shared" si="338"/>
        <v>1.1618357860926232</v>
      </c>
      <c r="AM210" s="564">
        <f t="shared" si="314"/>
        <v>100</v>
      </c>
      <c r="AN210" s="473">
        <f t="shared" si="315"/>
        <v>283.21262566209055</v>
      </c>
      <c r="AP210">
        <f t="shared" si="316"/>
        <v>100</v>
      </c>
      <c r="AQ210">
        <f t="shared" si="317"/>
        <v>283.21262566209055</v>
      </c>
      <c r="AS210" s="5">
        <f t="shared" si="326"/>
        <v>3.5309160305343519</v>
      </c>
      <c r="AT210" s="5">
        <f t="shared" si="318"/>
        <v>1.5949999999999998</v>
      </c>
      <c r="AU210" s="5">
        <f t="shared" si="272"/>
        <v>1.9359160305343521</v>
      </c>
      <c r="AV210" s="5"/>
      <c r="AW210" s="180">
        <f t="shared" si="273"/>
        <v>0.45172413793103433</v>
      </c>
      <c r="AX210" s="180">
        <f t="shared" si="322"/>
        <v>0.65499999999999992</v>
      </c>
      <c r="AY210" s="180">
        <f t="shared" si="323"/>
        <v>0.15900000000000003</v>
      </c>
      <c r="AZ210" s="180">
        <f t="shared" si="327"/>
        <v>4.1194968553459104</v>
      </c>
      <c r="BD210" s="180">
        <f t="shared" si="328"/>
        <v>0.1125314770778973</v>
      </c>
      <c r="BE210" s="180">
        <f t="shared" si="324"/>
        <v>0.24795160818191925</v>
      </c>
      <c r="BG210" s="547">
        <f t="shared" si="274"/>
        <v>4.4321666666666641E-3</v>
      </c>
      <c r="BH210" s="547">
        <f t="shared" si="275"/>
        <v>1.8972413793103445E-2</v>
      </c>
      <c r="BI210" s="547">
        <f t="shared" si="276"/>
        <v>3.5401578207761315E-3</v>
      </c>
      <c r="BJ210" s="547">
        <f t="shared" si="277"/>
        <v>8.6896926278240173E-3</v>
      </c>
      <c r="BK210">
        <f t="shared" si="278"/>
        <v>2.8999999999999998E-3</v>
      </c>
      <c r="BL210" s="473">
        <f t="shared" si="279"/>
        <v>38.534430908370261</v>
      </c>
      <c r="BM210" s="547">
        <f t="shared" si="280"/>
        <v>3.4999999999999996E-2</v>
      </c>
      <c r="BP210" s="473">
        <f t="shared" si="281"/>
        <v>34.999999999999993</v>
      </c>
      <c r="BQ210" s="547">
        <f t="shared" si="282"/>
        <v>1.3929666666666659E-3</v>
      </c>
      <c r="BR210" s="547">
        <f t="shared" si="283"/>
        <v>2.1518000000000006E-3</v>
      </c>
      <c r="BS210" s="547">
        <f t="shared" si="284"/>
        <v>3.0566557154885752E-3</v>
      </c>
      <c r="BT210" s="547">
        <f t="shared" si="285"/>
        <v>2.3818181818181815E-2</v>
      </c>
      <c r="BU210" s="473">
        <f t="shared" si="286"/>
        <v>30.419604200337055</v>
      </c>
      <c r="BV210" s="180">
        <f t="shared" si="287"/>
        <v>0.10395403510870729</v>
      </c>
      <c r="BW210" s="5">
        <f t="shared" si="288"/>
        <v>0.63</v>
      </c>
      <c r="BX210" s="180">
        <f t="shared" si="289"/>
        <v>0.85836437959863465</v>
      </c>
      <c r="BY210" s="5">
        <f t="shared" si="290"/>
        <v>85.83643795986346</v>
      </c>
      <c r="CB210" s="582">
        <f t="shared" si="319"/>
        <v>-50</v>
      </c>
      <c r="CC210">
        <f t="shared" si="320"/>
        <v>-50</v>
      </c>
    </row>
    <row r="211" spans="5:83" x14ac:dyDescent="0.25">
      <c r="E211" s="177"/>
      <c r="F211" s="224"/>
      <c r="G211" s="224"/>
      <c r="H211" s="224"/>
      <c r="I211" s="560"/>
      <c r="J211" s="455"/>
      <c r="K211" s="455"/>
      <c r="L211" s="455"/>
      <c r="M211" s="224"/>
      <c r="N211" s="179"/>
      <c r="O211" s="179"/>
      <c r="P211" s="224"/>
      <c r="Q211" s="224"/>
      <c r="R211" s="224"/>
      <c r="S211" s="179"/>
      <c r="T211" s="179"/>
      <c r="U211" s="224"/>
      <c r="V211" s="224"/>
      <c r="W211" s="224"/>
      <c r="X211" s="204"/>
      <c r="Y211" s="455"/>
      <c r="AA211" s="224"/>
      <c r="AB211" s="180"/>
      <c r="AC211" s="180"/>
      <c r="AD211" s="180"/>
      <c r="AE211" s="180"/>
      <c r="AF211" s="564"/>
      <c r="AI211" s="180"/>
      <c r="AJ211" s="180"/>
      <c r="AK211" s="180"/>
      <c r="AM211" s="564"/>
      <c r="AN211" s="473"/>
      <c r="AS211" s="5"/>
      <c r="AT211" s="5"/>
      <c r="AU211" s="5"/>
      <c r="AV211" s="5"/>
      <c r="AW211" s="180"/>
      <c r="AX211" s="180"/>
      <c r="CB211" s="582"/>
      <c r="CD211" s="549">
        <f>MAX(CC110:CC210)</f>
        <v>-50</v>
      </c>
      <c r="CE211" s="77" t="s">
        <v>45</v>
      </c>
    </row>
    <row r="212" spans="5:83" x14ac:dyDescent="0.25">
      <c r="H212" s="224"/>
      <c r="I212" s="560"/>
      <c r="J212" s="455"/>
      <c r="K212" s="455"/>
      <c r="L212" s="455"/>
      <c r="M212" s="224"/>
      <c r="N212" s="551">
        <f>M210*I210*Isw_max*0.5*Efficiency</f>
        <v>3.7003246753246755</v>
      </c>
      <c r="O212" s="179"/>
      <c r="P212" s="224"/>
      <c r="Q212" s="224"/>
      <c r="R212" s="224"/>
      <c r="S212" s="179"/>
      <c r="T212" s="179"/>
      <c r="U212" s="224"/>
      <c r="V212" s="224"/>
      <c r="W212" s="224"/>
      <c r="X212" s="204"/>
      <c r="Y212" s="455"/>
      <c r="AA212" s="224"/>
      <c r="AB212" s="180"/>
      <c r="AC212" s="180"/>
      <c r="AD212" s="180"/>
      <c r="AE212" s="180"/>
      <c r="AF212" s="564"/>
      <c r="AI212" s="180"/>
      <c r="AJ212" s="180"/>
      <c r="AK212" s="180"/>
      <c r="AM212" s="564"/>
      <c r="AN212" s="473"/>
      <c r="AS212" s="5"/>
      <c r="AT212" s="5"/>
      <c r="AU212" s="5"/>
      <c r="AV212" s="5"/>
      <c r="AW212" s="180"/>
      <c r="AX212" s="180"/>
      <c r="CB212" s="582"/>
    </row>
    <row r="213" spans="5:83" x14ac:dyDescent="0.25">
      <c r="H213" s="224"/>
      <c r="I213" s="560"/>
      <c r="J213" s="455"/>
      <c r="K213" s="455"/>
      <c r="L213" s="455"/>
      <c r="M213" s="224"/>
      <c r="N213" s="179"/>
      <c r="O213" s="179"/>
      <c r="P213" s="224"/>
      <c r="Q213" s="224"/>
      <c r="R213" s="224"/>
      <c r="S213" s="179"/>
      <c r="T213" s="179"/>
      <c r="U213" s="224"/>
      <c r="V213" s="224"/>
      <c r="W213" s="224"/>
      <c r="X213" s="204"/>
      <c r="Y213" s="455"/>
      <c r="AA213" s="224"/>
      <c r="AB213" s="180"/>
      <c r="AC213" s="180"/>
      <c r="AD213" s="180"/>
      <c r="AE213" s="180"/>
      <c r="AF213" s="564"/>
      <c r="AI213" s="180"/>
      <c r="AJ213" s="180"/>
      <c r="AK213" s="180"/>
      <c r="AM213" s="564"/>
      <c r="AN213" s="473"/>
      <c r="AS213" s="5"/>
      <c r="AT213" s="5"/>
      <c r="AU213" s="5"/>
      <c r="AV213" s="5"/>
      <c r="AW213" s="180"/>
      <c r="AX213" s="180"/>
      <c r="CB213" s="582"/>
    </row>
    <row r="214" spans="5:83" x14ac:dyDescent="0.25">
      <c r="E214" s="457" t="s">
        <v>448</v>
      </c>
      <c r="H214" s="224"/>
      <c r="I214" s="560"/>
      <c r="J214" s="455"/>
      <c r="K214" s="455"/>
      <c r="L214" s="455"/>
      <c r="M214" s="224"/>
      <c r="N214" s="179"/>
      <c r="O214" s="179"/>
      <c r="P214" s="224"/>
      <c r="Q214" s="224"/>
      <c r="R214" s="224"/>
      <c r="S214" s="179"/>
      <c r="T214" s="179"/>
      <c r="U214" s="224"/>
      <c r="V214" s="224"/>
      <c r="W214" s="224"/>
      <c r="X214" s="204"/>
      <c r="Y214" s="455"/>
      <c r="AA214" s="224"/>
      <c r="AB214" s="180"/>
      <c r="AC214" s="180"/>
      <c r="AD214" s="180"/>
      <c r="AE214" s="180"/>
      <c r="AF214" s="564"/>
      <c r="AI214" s="180"/>
      <c r="AJ214" s="180"/>
      <c r="AK214" s="180"/>
      <c r="AM214" s="564"/>
      <c r="AN214" s="473"/>
      <c r="AS214" s="5"/>
      <c r="AT214" s="5"/>
      <c r="AU214" s="5"/>
      <c r="AV214" s="5"/>
      <c r="AW214" s="180"/>
      <c r="AX214" s="180"/>
      <c r="CB214" s="582"/>
    </row>
    <row r="215" spans="5:83" ht="45" customHeight="1" thickBot="1" x14ac:dyDescent="0.3">
      <c r="E215" s="248" t="s">
        <v>25</v>
      </c>
      <c r="F215" s="456" t="s">
        <v>195</v>
      </c>
      <c r="G215" s="267"/>
      <c r="H215" s="546" t="s">
        <v>224</v>
      </c>
      <c r="I215" s="249" t="s">
        <v>425</v>
      </c>
      <c r="J215" s="250" t="s">
        <v>431</v>
      </c>
      <c r="K215" s="546" t="s">
        <v>426</v>
      </c>
      <c r="L215" s="546"/>
      <c r="M215" s="251" t="s">
        <v>48</v>
      </c>
      <c r="N215" s="546" t="s">
        <v>415</v>
      </c>
      <c r="O215" s="179"/>
      <c r="P215" s="546" t="s">
        <v>416</v>
      </c>
      <c r="Q215" s="546" t="s">
        <v>446</v>
      </c>
      <c r="R215" s="546"/>
      <c r="S215" s="179"/>
      <c r="T215" s="179"/>
      <c r="U215" s="546" t="s">
        <v>427</v>
      </c>
      <c r="V215" s="546" t="s">
        <v>479</v>
      </c>
      <c r="W215" s="546" t="s">
        <v>478</v>
      </c>
      <c r="X215" s="566" t="s">
        <v>433</v>
      </c>
      <c r="Y215" s="561" t="s">
        <v>438</v>
      </c>
      <c r="AA215" s="252" t="s">
        <v>430</v>
      </c>
      <c r="AB215" s="252" t="s">
        <v>477</v>
      </c>
      <c r="AC215" s="252" t="s">
        <v>436</v>
      </c>
      <c r="AD215" s="563"/>
      <c r="AE215" s="252" t="s">
        <v>476</v>
      </c>
      <c r="AF215" s="252" t="s">
        <v>439</v>
      </c>
      <c r="AG215" s="252" t="s">
        <v>440</v>
      </c>
      <c r="AH215" s="563"/>
      <c r="AI215" s="252" t="s">
        <v>442</v>
      </c>
      <c r="AJ215" s="567" t="s">
        <v>443</v>
      </c>
      <c r="AK215" s="567" t="s">
        <v>444</v>
      </c>
      <c r="AM215" s="562" t="s">
        <v>276</v>
      </c>
      <c r="AN215" s="562" t="s">
        <v>445</v>
      </c>
      <c r="AP215" s="252" t="s">
        <v>276</v>
      </c>
      <c r="AQ215" s="252" t="s">
        <v>445</v>
      </c>
      <c r="AR215" s="568"/>
      <c r="AS215" s="252" t="s">
        <v>480</v>
      </c>
      <c r="AT215" s="5"/>
      <c r="AU215" s="5"/>
      <c r="AV215" s="5"/>
      <c r="AW215" s="180"/>
      <c r="AX215" s="180"/>
      <c r="AY215" s="563"/>
      <c r="AZ215" s="563"/>
      <c r="BA215" s="252" t="s">
        <v>495</v>
      </c>
      <c r="BB215" s="252" t="s">
        <v>496</v>
      </c>
      <c r="BC215" s="563"/>
      <c r="BD215" s="577" t="s">
        <v>469</v>
      </c>
      <c r="BE215" s="252" t="s">
        <v>470</v>
      </c>
      <c r="BF215" s="563"/>
      <c r="BG215" s="577" t="s">
        <v>487</v>
      </c>
      <c r="BH215" s="252" t="s">
        <v>488</v>
      </c>
      <c r="BI215" s="252" t="s">
        <v>486</v>
      </c>
      <c r="BJ215" s="252" t="s">
        <v>482</v>
      </c>
      <c r="BK215" s="252" t="s">
        <v>491</v>
      </c>
      <c r="BL215" s="252" t="s">
        <v>506</v>
      </c>
      <c r="BM215" s="577" t="s">
        <v>489</v>
      </c>
      <c r="BN215" s="252" t="s">
        <v>490</v>
      </c>
      <c r="BO215" s="252" t="s">
        <v>498</v>
      </c>
      <c r="BP215" s="252" t="s">
        <v>502</v>
      </c>
      <c r="BQ215" s="577" t="s">
        <v>471</v>
      </c>
      <c r="BR215" s="252" t="s">
        <v>472</v>
      </c>
      <c r="BS215" s="252" t="s">
        <v>481</v>
      </c>
      <c r="BT215" s="252" t="s">
        <v>499</v>
      </c>
      <c r="BU215" s="252" t="s">
        <v>501</v>
      </c>
      <c r="BV215" s="577" t="s">
        <v>497</v>
      </c>
      <c r="BW215" s="252" t="s">
        <v>224</v>
      </c>
      <c r="BX215" s="252" t="s">
        <v>47</v>
      </c>
      <c r="BY215" s="252" t="s">
        <v>500</v>
      </c>
      <c r="BZ215" s="252"/>
      <c r="CB215" s="582"/>
    </row>
    <row r="216" spans="5:83" x14ac:dyDescent="0.25">
      <c r="E216" s="177">
        <v>0.1</v>
      </c>
      <c r="F216" s="224">
        <v>1.0000000000000001E-9</v>
      </c>
      <c r="G216" s="224"/>
      <c r="H216" s="224">
        <f t="shared" ref="H216:H247" si="340">F216*Vout</f>
        <v>6.3000000000000002E-9</v>
      </c>
      <c r="I216" s="560">
        <f t="shared" ref="I216:I247" si="341">VIN_max</f>
        <v>50</v>
      </c>
      <c r="J216" s="455">
        <f t="shared" ref="J216:J247" si="342">(T216+Vfwd1)*Nps</f>
        <v>13.1</v>
      </c>
      <c r="K216" s="455">
        <f t="shared" ref="K216:K247" si="343">(Vout+Vfwd1)*Nps+I216</f>
        <v>63.1</v>
      </c>
      <c r="L216" s="455"/>
      <c r="M216" s="224">
        <f t="shared" ref="M216:M247" si="344">(Vout+Vfwd1)*Nps/((Vout+Vfwd1)*Nps+I216)</f>
        <v>0.20760697305863707</v>
      </c>
      <c r="N216" s="179">
        <f t="shared" ref="N216:N247" si="345">M216*I216*Isw_max*0.5*Efficiency</f>
        <v>6.7731774960380342</v>
      </c>
      <c r="O216" s="179">
        <f t="shared" si="325"/>
        <v>6.3000000000000002E-9</v>
      </c>
      <c r="P216" s="224">
        <f t="shared" ref="P216:P247" si="346">N216/Vout</f>
        <v>1.0751075390536562</v>
      </c>
      <c r="Q216" s="224">
        <f t="shared" ref="Q216:Q247" si="347">MIN(Vout,N216/F216)</f>
        <v>6.3</v>
      </c>
      <c r="R216" s="224"/>
      <c r="S216" s="179">
        <f t="shared" ref="S216:S247" si="348">(SQRT(Isw_max^2*Nps^2*I216^2+4*Isw_max*F216/Efficiency*(Nps^2*Vfwd1*I216-Nps*I216^2)+4*(F216/Efficiency)^2*Nps^2*Vfwd1^2+8*(F216/Efficiency)^2*Nps*Vfwd1*I216+4*(F216/Efficiency)^2*I216^2)-2*F216/Efficiency*I216-2*F216/Efficiency*Nps*Vfwd1+Isw_max*Nps*I216)/(4*F216/Efficiency*Nps)</f>
        <v>32624999975</v>
      </c>
      <c r="T216" s="179">
        <f t="shared" ref="T216:T247" si="349">MIN(Vout, S216)</f>
        <v>6.3</v>
      </c>
      <c r="U216" s="224">
        <f t="shared" ref="U216:U247" si="350">MIN(2*Vout*F216/(Efficiency*I216*M216), Isw_max)</f>
        <v>1.3487022900763361E-9</v>
      </c>
      <c r="V216" s="224">
        <f t="shared" ref="V216:V247" si="351">L*U216/I216*1000000</f>
        <v>1.4835725190839698E-9</v>
      </c>
      <c r="W216" s="224">
        <f t="shared" ref="W216:W247" si="352">L*U216/J216*1000000</f>
        <v>5.6624905308548457E-9</v>
      </c>
      <c r="X216" s="204">
        <f t="shared" ref="X216:X247" si="353">IF(1/((350000*L)*(1/I216+1/J216))&gt;Isw_min, 350, 0.001/((Isw_min*L)*(1/I216+1/J216)))</f>
        <v>350</v>
      </c>
      <c r="Y216" s="455">
        <f t="shared" ref="Y216:Y275" si="354">MIN(1/(V216+W216)*1000, 350)</f>
        <v>350</v>
      </c>
      <c r="AA216" s="224">
        <f t="shared" ref="AA216:AA247" si="355">1/((X216*1000*L)*(1/I216+1/J216))</f>
        <v>0.539238891061395</v>
      </c>
      <c r="AB216" s="180">
        <f t="shared" ref="AB216:AB247" si="356">L*AA216/J216*1000000</f>
        <v>2.2639800769753222</v>
      </c>
      <c r="AC216" s="180">
        <f t="shared" ref="AC216:AC247" si="357">0.5*AB216*AA216*Nps*X216/1000</f>
        <v>0.42728913713264249</v>
      </c>
      <c r="AD216" s="180"/>
      <c r="AE216" s="180">
        <f t="shared" ref="AE216:AE247" si="358">L*Isw_min/J216*1000000</f>
        <v>1.217557251908397</v>
      </c>
      <c r="AF216" s="564">
        <f t="shared" ref="AF216:AF247" si="359">MAX(10000,F216/(0.5*AE216/1000000*Isw_min*Nps))/1000</f>
        <v>10</v>
      </c>
      <c r="AG216" s="547">
        <f t="shared" ref="AG216:AG247" si="360">0.5*AE216/1000000*Isw_min*Nps*X216*1000</f>
        <v>0.1235820610687023</v>
      </c>
      <c r="AI216" s="180">
        <f t="shared" ref="AI216:AI247" si="361">SQRT(F216/(0.5*L/J216*Fsw_DCM*Nps))</f>
        <v>2.6086768303480607E-5</v>
      </c>
      <c r="AJ216" s="180">
        <f t="shared" ref="AJ216:AJ247" si="362">MAX(IF(F216&gt;AC216,U216,AI216),Isw_min)</f>
        <v>0.28999999999999998</v>
      </c>
      <c r="AK216" s="180">
        <f t="shared" ref="AK216:AK247" si="363">IF(F216&gt;AG216, (AJ216-Isw_min)/1.08*0.8+1.2, AF216*0.2/350+1)</f>
        <v>1.0057142857142858</v>
      </c>
      <c r="AM216" s="564">
        <f t="shared" ref="AM216:AM247" si="364">F216*1000</f>
        <v>1.0000000000000002E-6</v>
      </c>
      <c r="AN216" s="473">
        <f t="shared" ref="AN216:AN247" si="365">IF(F216&gt;AG216, Y216, AF216)</f>
        <v>10</v>
      </c>
      <c r="AP216">
        <f t="shared" ref="AP216:AP247" si="366">IF(H216&gt;N216, "",AM216)</f>
        <v>1.0000000000000002E-6</v>
      </c>
      <c r="AQ216">
        <f t="shared" ref="AQ216:AQ247" si="367">IF(H216&gt;N216, "",AN216)</f>
        <v>10</v>
      </c>
      <c r="AS216" s="5">
        <f t="shared" si="326"/>
        <v>100</v>
      </c>
      <c r="AT216" s="5">
        <f t="shared" ref="AT216:AT247" si="368">L*AJ216/I216*1000000</f>
        <v>0.31900000000000001</v>
      </c>
      <c r="AU216" s="5">
        <f t="shared" si="272"/>
        <v>99.680999999999997</v>
      </c>
      <c r="AV216" s="5"/>
      <c r="AW216" s="180">
        <f t="shared" si="273"/>
        <v>3.1900000000000001E-3</v>
      </c>
      <c r="AX216" s="180"/>
      <c r="CB216" s="582">
        <f t="shared" ref="CB216:CB247" si="369">IF(ABS(F216-Ioutmax_Vinmax)&lt;Iout/200, AN216, -50)</f>
        <v>-50</v>
      </c>
      <c r="CC216">
        <f t="shared" ref="CC216:CC247" si="370">IF(ABS(F216-Ioutmax_Vinmin)&lt;Iout/200, N216*BX216, -50)</f>
        <v>-50</v>
      </c>
    </row>
    <row r="217" spans="5:83" x14ac:dyDescent="0.25">
      <c r="E217" s="177">
        <v>1</v>
      </c>
      <c r="F217" s="224">
        <f t="shared" ref="F217:F248" si="371">IF(PLOT_TYPE=1, E217/100*Iout_max, min_I*EXP(N217*rr/100))</f>
        <v>1E-3</v>
      </c>
      <c r="G217" s="224"/>
      <c r="H217" s="224">
        <f t="shared" si="340"/>
        <v>6.3E-3</v>
      </c>
      <c r="I217" s="560">
        <f t="shared" si="341"/>
        <v>50</v>
      </c>
      <c r="J217" s="455">
        <f t="shared" si="342"/>
        <v>13.1</v>
      </c>
      <c r="K217" s="455">
        <f t="shared" si="343"/>
        <v>63.1</v>
      </c>
      <c r="L217" s="455"/>
      <c r="M217" s="224">
        <f t="shared" si="344"/>
        <v>0.20760697305863707</v>
      </c>
      <c r="N217" s="179">
        <f t="shared" si="345"/>
        <v>6.7731774960380342</v>
      </c>
      <c r="O217" s="179">
        <f t="shared" si="325"/>
        <v>6.3E-3</v>
      </c>
      <c r="P217" s="224">
        <f t="shared" si="346"/>
        <v>1.0751075390536562</v>
      </c>
      <c r="Q217" s="224">
        <f t="shared" si="347"/>
        <v>6.3</v>
      </c>
      <c r="R217" s="224"/>
      <c r="S217" s="179">
        <f t="shared" si="348"/>
        <v>32600.000191716317</v>
      </c>
      <c r="T217" s="179">
        <f t="shared" si="349"/>
        <v>6.3</v>
      </c>
      <c r="U217" s="224">
        <f t="shared" si="350"/>
        <v>1.348702290076336E-3</v>
      </c>
      <c r="V217" s="224">
        <f t="shared" si="351"/>
        <v>1.4835725190839697E-3</v>
      </c>
      <c r="W217" s="224">
        <f t="shared" si="352"/>
        <v>5.6624905308548454E-3</v>
      </c>
      <c r="X217" s="204">
        <f t="shared" si="353"/>
        <v>350</v>
      </c>
      <c r="Y217" s="455">
        <f t="shared" si="354"/>
        <v>350</v>
      </c>
      <c r="AA217" s="224">
        <f t="shared" si="355"/>
        <v>0.539238891061395</v>
      </c>
      <c r="AB217" s="180">
        <f t="shared" si="356"/>
        <v>2.2639800769753222</v>
      </c>
      <c r="AC217" s="180">
        <f t="shared" si="357"/>
        <v>0.42728913713264249</v>
      </c>
      <c r="AD217" s="180"/>
      <c r="AE217" s="180">
        <f t="shared" si="358"/>
        <v>1.217557251908397</v>
      </c>
      <c r="AF217" s="564">
        <f t="shared" si="359"/>
        <v>10</v>
      </c>
      <c r="AG217" s="547">
        <f t="shared" si="360"/>
        <v>0.1235820610687023</v>
      </c>
      <c r="AI217" s="180">
        <f t="shared" si="361"/>
        <v>2.6086768303480605E-2</v>
      </c>
      <c r="AJ217" s="180">
        <f t="shared" si="362"/>
        <v>0.28999999999999998</v>
      </c>
      <c r="AK217" s="180">
        <f t="shared" si="363"/>
        <v>1.0057142857142858</v>
      </c>
      <c r="AM217" s="564">
        <f t="shared" si="364"/>
        <v>1</v>
      </c>
      <c r="AN217" s="473">
        <f t="shared" si="365"/>
        <v>10</v>
      </c>
      <c r="AP217">
        <f t="shared" si="366"/>
        <v>1</v>
      </c>
      <c r="AQ217">
        <f t="shared" si="367"/>
        <v>10</v>
      </c>
      <c r="AS217" s="5">
        <f t="shared" si="326"/>
        <v>100</v>
      </c>
      <c r="AT217" s="5">
        <f t="shared" si="368"/>
        <v>0.31900000000000001</v>
      </c>
      <c r="AU217" s="5">
        <f t="shared" si="272"/>
        <v>99.680999999999997</v>
      </c>
      <c r="AV217" s="5"/>
      <c r="AW217" s="180">
        <f t="shared" si="273"/>
        <v>3.1900000000000001E-3</v>
      </c>
      <c r="AX217" s="180"/>
      <c r="CB217" s="582">
        <f t="shared" si="369"/>
        <v>-50</v>
      </c>
      <c r="CC217">
        <f t="shared" si="370"/>
        <v>-50</v>
      </c>
    </row>
    <row r="218" spans="5:83" x14ac:dyDescent="0.25">
      <c r="E218" s="177">
        <v>2</v>
      </c>
      <c r="F218" s="224">
        <f t="shared" si="371"/>
        <v>2E-3</v>
      </c>
      <c r="G218" s="224"/>
      <c r="H218" s="224">
        <f t="shared" si="340"/>
        <v>1.26E-2</v>
      </c>
      <c r="I218" s="560">
        <f t="shared" si="341"/>
        <v>50</v>
      </c>
      <c r="J218" s="455">
        <f t="shared" si="342"/>
        <v>13.1</v>
      </c>
      <c r="K218" s="455">
        <f t="shared" si="343"/>
        <v>63.1</v>
      </c>
      <c r="L218" s="455"/>
      <c r="M218" s="224">
        <f t="shared" si="344"/>
        <v>0.20760697305863707</v>
      </c>
      <c r="N218" s="179">
        <f t="shared" si="345"/>
        <v>6.7731774960380342</v>
      </c>
      <c r="O218" s="179">
        <f t="shared" si="325"/>
        <v>1.26E-2</v>
      </c>
      <c r="P218" s="224">
        <f t="shared" si="346"/>
        <v>1.0751075390536562</v>
      </c>
      <c r="Q218" s="224">
        <f t="shared" si="347"/>
        <v>6.3</v>
      </c>
      <c r="R218" s="224"/>
      <c r="S218" s="179">
        <f t="shared" si="348"/>
        <v>16287.500383723958</v>
      </c>
      <c r="T218" s="179">
        <f t="shared" si="349"/>
        <v>6.3</v>
      </c>
      <c r="U218" s="224">
        <f t="shared" si="350"/>
        <v>2.697404580152672E-3</v>
      </c>
      <c r="V218" s="224">
        <f t="shared" si="351"/>
        <v>2.9671450381679393E-3</v>
      </c>
      <c r="W218" s="224">
        <f t="shared" si="352"/>
        <v>1.1324981061709691E-2</v>
      </c>
      <c r="X218" s="204">
        <f t="shared" si="353"/>
        <v>350</v>
      </c>
      <c r="Y218" s="455">
        <f t="shared" si="354"/>
        <v>350</v>
      </c>
      <c r="AA218" s="224">
        <f t="shared" si="355"/>
        <v>0.539238891061395</v>
      </c>
      <c r="AB218" s="180">
        <f t="shared" si="356"/>
        <v>2.2639800769753222</v>
      </c>
      <c r="AC218" s="180">
        <f t="shared" si="357"/>
        <v>0.42728913713264249</v>
      </c>
      <c r="AD218" s="180"/>
      <c r="AE218" s="180">
        <f t="shared" si="358"/>
        <v>1.217557251908397</v>
      </c>
      <c r="AF218" s="564">
        <f t="shared" si="359"/>
        <v>10</v>
      </c>
      <c r="AG218" s="547">
        <f t="shared" si="360"/>
        <v>0.1235820610687023</v>
      </c>
      <c r="AI218" s="180">
        <f t="shared" si="361"/>
        <v>3.689226153326685E-2</v>
      </c>
      <c r="AJ218" s="180">
        <f t="shared" si="362"/>
        <v>0.28999999999999998</v>
      </c>
      <c r="AK218" s="180">
        <f t="shared" si="363"/>
        <v>1.0057142857142858</v>
      </c>
      <c r="AM218" s="564">
        <f t="shared" si="364"/>
        <v>2</v>
      </c>
      <c r="AN218" s="473">
        <f t="shared" si="365"/>
        <v>10</v>
      </c>
      <c r="AP218">
        <f t="shared" si="366"/>
        <v>2</v>
      </c>
      <c r="AQ218">
        <f t="shared" si="367"/>
        <v>10</v>
      </c>
      <c r="AS218" s="5">
        <f t="shared" si="326"/>
        <v>100</v>
      </c>
      <c r="AT218" s="5">
        <f t="shared" si="368"/>
        <v>0.31900000000000001</v>
      </c>
      <c r="AU218" s="5">
        <f t="shared" si="272"/>
        <v>99.680999999999997</v>
      </c>
      <c r="AV218" s="5"/>
      <c r="AW218" s="180">
        <f t="shared" si="273"/>
        <v>3.1900000000000001E-3</v>
      </c>
      <c r="AX218" s="180"/>
      <c r="CB218" s="582">
        <f t="shared" si="369"/>
        <v>-50</v>
      </c>
      <c r="CC218">
        <f t="shared" si="370"/>
        <v>-50</v>
      </c>
    </row>
    <row r="219" spans="5:83" x14ac:dyDescent="0.25">
      <c r="E219" s="177">
        <v>3</v>
      </c>
      <c r="F219" s="224">
        <f t="shared" si="371"/>
        <v>3.0000000000000001E-3</v>
      </c>
      <c r="G219" s="224"/>
      <c r="H219" s="224">
        <f t="shared" si="340"/>
        <v>1.89E-2</v>
      </c>
      <c r="I219" s="560">
        <f t="shared" si="341"/>
        <v>50</v>
      </c>
      <c r="J219" s="455">
        <f t="shared" si="342"/>
        <v>13.1</v>
      </c>
      <c r="K219" s="455">
        <f t="shared" si="343"/>
        <v>63.1</v>
      </c>
      <c r="L219" s="455"/>
      <c r="M219" s="224">
        <f t="shared" si="344"/>
        <v>0.20760697305863707</v>
      </c>
      <c r="N219" s="179">
        <f t="shared" si="345"/>
        <v>6.7731774960380342</v>
      </c>
      <c r="O219" s="179">
        <f t="shared" si="325"/>
        <v>1.89E-2</v>
      </c>
      <c r="P219" s="224">
        <f t="shared" si="346"/>
        <v>1.0751075390536562</v>
      </c>
      <c r="Q219" s="224">
        <f t="shared" si="347"/>
        <v>6.3</v>
      </c>
      <c r="R219" s="224"/>
      <c r="S219" s="179">
        <f t="shared" si="348"/>
        <v>10850.000576023564</v>
      </c>
      <c r="T219" s="179">
        <f t="shared" si="349"/>
        <v>6.3</v>
      </c>
      <c r="U219" s="224">
        <f t="shared" si="350"/>
        <v>4.0461068702290076E-3</v>
      </c>
      <c r="V219" s="224">
        <f t="shared" si="351"/>
        <v>4.4507175572519085E-3</v>
      </c>
      <c r="W219" s="224">
        <f t="shared" si="352"/>
        <v>1.6987471592564536E-2</v>
      </c>
      <c r="X219" s="204">
        <f t="shared" si="353"/>
        <v>350</v>
      </c>
      <c r="Y219" s="455">
        <f t="shared" si="354"/>
        <v>350</v>
      </c>
      <c r="AA219" s="224">
        <f t="shared" si="355"/>
        <v>0.539238891061395</v>
      </c>
      <c r="AB219" s="180">
        <f t="shared" si="356"/>
        <v>2.2639800769753222</v>
      </c>
      <c r="AC219" s="180">
        <f t="shared" si="357"/>
        <v>0.42728913713264249</v>
      </c>
      <c r="AD219" s="180"/>
      <c r="AE219" s="180">
        <f t="shared" si="358"/>
        <v>1.217557251908397</v>
      </c>
      <c r="AF219" s="564">
        <f t="shared" si="359"/>
        <v>10</v>
      </c>
      <c r="AG219" s="547">
        <f t="shared" si="360"/>
        <v>0.1235820610687023</v>
      </c>
      <c r="AI219" s="180">
        <f t="shared" si="361"/>
        <v>4.5183608106905776E-2</v>
      </c>
      <c r="AJ219" s="180">
        <f t="shared" si="362"/>
        <v>0.28999999999999998</v>
      </c>
      <c r="AK219" s="180">
        <f t="shared" si="363"/>
        <v>1.0057142857142858</v>
      </c>
      <c r="AM219" s="564">
        <f t="shared" si="364"/>
        <v>3</v>
      </c>
      <c r="AN219" s="473">
        <f t="shared" si="365"/>
        <v>10</v>
      </c>
      <c r="AP219">
        <f t="shared" si="366"/>
        <v>3</v>
      </c>
      <c r="AQ219">
        <f t="shared" si="367"/>
        <v>10</v>
      </c>
      <c r="AS219" s="5">
        <f t="shared" si="326"/>
        <v>100</v>
      </c>
      <c r="AT219" s="5">
        <f t="shared" si="368"/>
        <v>0.31900000000000001</v>
      </c>
      <c r="AU219" s="5">
        <f t="shared" si="272"/>
        <v>99.680999999999997</v>
      </c>
      <c r="AV219" s="5"/>
      <c r="AW219" s="180">
        <f t="shared" si="273"/>
        <v>3.1900000000000001E-3</v>
      </c>
      <c r="AX219" s="180"/>
      <c r="CB219" s="582">
        <f t="shared" si="369"/>
        <v>-50</v>
      </c>
      <c r="CC219">
        <f t="shared" si="370"/>
        <v>-50</v>
      </c>
    </row>
    <row r="220" spans="5:83" x14ac:dyDescent="0.25">
      <c r="E220" s="177">
        <v>4</v>
      </c>
      <c r="F220" s="224">
        <f t="shared" si="371"/>
        <v>4.0000000000000001E-3</v>
      </c>
      <c r="G220" s="224"/>
      <c r="H220" s="224">
        <f t="shared" si="340"/>
        <v>2.52E-2</v>
      </c>
      <c r="I220" s="560">
        <f t="shared" si="341"/>
        <v>50</v>
      </c>
      <c r="J220" s="455">
        <f t="shared" si="342"/>
        <v>13.1</v>
      </c>
      <c r="K220" s="455">
        <f t="shared" si="343"/>
        <v>63.1</v>
      </c>
      <c r="L220" s="455"/>
      <c r="M220" s="224">
        <f t="shared" si="344"/>
        <v>0.20760697305863707</v>
      </c>
      <c r="N220" s="179">
        <f t="shared" si="345"/>
        <v>6.7731774960380342</v>
      </c>
      <c r="O220" s="179">
        <f t="shared" si="325"/>
        <v>2.52E-2</v>
      </c>
      <c r="P220" s="224">
        <f t="shared" si="346"/>
        <v>1.0751075390536562</v>
      </c>
      <c r="Q220" s="224">
        <f t="shared" si="347"/>
        <v>6.3</v>
      </c>
      <c r="R220" s="224"/>
      <c r="S220" s="179">
        <f t="shared" si="348"/>
        <v>8131.2507686158042</v>
      </c>
      <c r="T220" s="179">
        <f t="shared" si="349"/>
        <v>6.3</v>
      </c>
      <c r="U220" s="224">
        <f t="shared" si="350"/>
        <v>5.3948091603053441E-3</v>
      </c>
      <c r="V220" s="224">
        <f t="shared" si="351"/>
        <v>5.9342900763358786E-3</v>
      </c>
      <c r="W220" s="224">
        <f t="shared" si="352"/>
        <v>2.2649962123419382E-2</v>
      </c>
      <c r="X220" s="204">
        <f t="shared" si="353"/>
        <v>350</v>
      </c>
      <c r="Y220" s="455">
        <f t="shared" si="354"/>
        <v>350</v>
      </c>
      <c r="AA220" s="224">
        <f t="shared" si="355"/>
        <v>0.539238891061395</v>
      </c>
      <c r="AB220" s="180">
        <f t="shared" si="356"/>
        <v>2.2639800769753222</v>
      </c>
      <c r="AC220" s="180">
        <f t="shared" si="357"/>
        <v>0.42728913713264249</v>
      </c>
      <c r="AD220" s="180"/>
      <c r="AE220" s="180">
        <f t="shared" si="358"/>
        <v>1.217557251908397</v>
      </c>
      <c r="AF220" s="564">
        <f t="shared" si="359"/>
        <v>11.328505026483622</v>
      </c>
      <c r="AG220" s="547">
        <f t="shared" si="360"/>
        <v>0.1235820610687023</v>
      </c>
      <c r="AI220" s="180">
        <f t="shared" si="361"/>
        <v>5.217353660696121E-2</v>
      </c>
      <c r="AJ220" s="180">
        <f t="shared" si="362"/>
        <v>0.28999999999999998</v>
      </c>
      <c r="AK220" s="180">
        <f t="shared" si="363"/>
        <v>1.0064734314437049</v>
      </c>
      <c r="AM220" s="564">
        <f t="shared" si="364"/>
        <v>4</v>
      </c>
      <c r="AN220" s="473">
        <f t="shared" si="365"/>
        <v>11.328505026483622</v>
      </c>
      <c r="AP220">
        <f t="shared" si="366"/>
        <v>4</v>
      </c>
      <c r="AQ220">
        <f t="shared" si="367"/>
        <v>11.328505026483622</v>
      </c>
      <c r="AS220" s="5">
        <f t="shared" si="326"/>
        <v>88.272900763358791</v>
      </c>
      <c r="AT220" s="5">
        <f t="shared" si="368"/>
        <v>0.31900000000000001</v>
      </c>
      <c r="AU220" s="5">
        <f t="shared" si="272"/>
        <v>87.953900763358789</v>
      </c>
      <c r="AV220" s="5"/>
      <c r="AW220" s="180">
        <f t="shared" si="273"/>
        <v>3.6137931034482752E-3</v>
      </c>
      <c r="AX220" s="180"/>
      <c r="CB220" s="582">
        <f t="shared" si="369"/>
        <v>-50</v>
      </c>
      <c r="CC220">
        <f t="shared" si="370"/>
        <v>-50</v>
      </c>
    </row>
    <row r="221" spans="5:83" x14ac:dyDescent="0.25">
      <c r="E221" s="177">
        <v>5</v>
      </c>
      <c r="F221" s="224">
        <f t="shared" si="371"/>
        <v>5.000000000000001E-3</v>
      </c>
      <c r="G221" s="224"/>
      <c r="H221" s="224">
        <f t="shared" si="340"/>
        <v>3.1500000000000007E-2</v>
      </c>
      <c r="I221" s="560">
        <f t="shared" si="341"/>
        <v>50</v>
      </c>
      <c r="J221" s="455">
        <f t="shared" si="342"/>
        <v>13.1</v>
      </c>
      <c r="K221" s="455">
        <f t="shared" si="343"/>
        <v>63.1</v>
      </c>
      <c r="L221" s="455"/>
      <c r="M221" s="224">
        <f t="shared" si="344"/>
        <v>0.20760697305863707</v>
      </c>
      <c r="N221" s="179">
        <f t="shared" si="345"/>
        <v>6.7731774960380342</v>
      </c>
      <c r="O221" s="179">
        <f t="shared" si="325"/>
        <v>3.1500000000000007E-2</v>
      </c>
      <c r="P221" s="224">
        <f t="shared" si="346"/>
        <v>1.0751075390536562</v>
      </c>
      <c r="Q221" s="224">
        <f t="shared" si="347"/>
        <v>6.3</v>
      </c>
      <c r="R221" s="224"/>
      <c r="S221" s="179">
        <f t="shared" si="348"/>
        <v>6500.0009615013369</v>
      </c>
      <c r="T221" s="179">
        <f t="shared" si="349"/>
        <v>6.3</v>
      </c>
      <c r="U221" s="224">
        <f t="shared" si="350"/>
        <v>6.7435114503816814E-3</v>
      </c>
      <c r="V221" s="224">
        <f t="shared" si="351"/>
        <v>7.4178625954198505E-3</v>
      </c>
      <c r="W221" s="224">
        <f t="shared" si="352"/>
        <v>2.8312452654274237E-2</v>
      </c>
      <c r="X221" s="204">
        <f t="shared" si="353"/>
        <v>350</v>
      </c>
      <c r="Y221" s="455">
        <f t="shared" si="354"/>
        <v>350</v>
      </c>
      <c r="AA221" s="224">
        <f t="shared" si="355"/>
        <v>0.539238891061395</v>
      </c>
      <c r="AB221" s="180">
        <f t="shared" si="356"/>
        <v>2.2639800769753222</v>
      </c>
      <c r="AC221" s="180">
        <f t="shared" si="357"/>
        <v>0.42728913713264249</v>
      </c>
      <c r="AD221" s="180"/>
      <c r="AE221" s="180">
        <f t="shared" si="358"/>
        <v>1.217557251908397</v>
      </c>
      <c r="AF221" s="564">
        <f t="shared" si="359"/>
        <v>14.16063128310453</v>
      </c>
      <c r="AG221" s="547">
        <f t="shared" si="360"/>
        <v>0.1235820610687023</v>
      </c>
      <c r="AI221" s="180">
        <f t="shared" si="361"/>
        <v>5.8331787239869502E-2</v>
      </c>
      <c r="AJ221" s="180">
        <f t="shared" si="362"/>
        <v>0.28999999999999998</v>
      </c>
      <c r="AK221" s="180">
        <f t="shared" si="363"/>
        <v>1.0080917893046311</v>
      </c>
      <c r="AM221" s="564">
        <f t="shared" si="364"/>
        <v>5.0000000000000009</v>
      </c>
      <c r="AN221" s="473">
        <f t="shared" si="365"/>
        <v>14.16063128310453</v>
      </c>
      <c r="AP221">
        <f t="shared" si="366"/>
        <v>5.0000000000000009</v>
      </c>
      <c r="AQ221">
        <f t="shared" si="367"/>
        <v>14.16063128310453</v>
      </c>
      <c r="AS221" s="5">
        <f t="shared" si="326"/>
        <v>70.618320610687007</v>
      </c>
      <c r="AT221" s="5">
        <f t="shared" si="368"/>
        <v>0.31900000000000001</v>
      </c>
      <c r="AU221" s="5">
        <f t="shared" si="272"/>
        <v>70.299320610687005</v>
      </c>
      <c r="AV221" s="5"/>
      <c r="AW221" s="180">
        <f t="shared" si="273"/>
        <v>4.5172413793103461E-3</v>
      </c>
      <c r="AX221" s="180"/>
      <c r="CB221" s="582">
        <f t="shared" si="369"/>
        <v>-50</v>
      </c>
      <c r="CC221">
        <f t="shared" si="370"/>
        <v>-50</v>
      </c>
    </row>
    <row r="222" spans="5:83" x14ac:dyDescent="0.25">
      <c r="E222" s="177">
        <v>6</v>
      </c>
      <c r="F222" s="224">
        <f t="shared" si="371"/>
        <v>6.0000000000000001E-3</v>
      </c>
      <c r="G222" s="224"/>
      <c r="H222" s="224">
        <f t="shared" si="340"/>
        <v>3.78E-2</v>
      </c>
      <c r="I222" s="560">
        <f t="shared" si="341"/>
        <v>50</v>
      </c>
      <c r="J222" s="455">
        <f t="shared" si="342"/>
        <v>13.1</v>
      </c>
      <c r="K222" s="455">
        <f t="shared" si="343"/>
        <v>63.1</v>
      </c>
      <c r="L222" s="455"/>
      <c r="M222" s="224">
        <f t="shared" si="344"/>
        <v>0.20760697305863707</v>
      </c>
      <c r="N222" s="179">
        <f t="shared" si="345"/>
        <v>6.7731774960380342</v>
      </c>
      <c r="O222" s="179">
        <f t="shared" si="325"/>
        <v>3.78E-2</v>
      </c>
      <c r="P222" s="224">
        <f t="shared" si="346"/>
        <v>1.0751075390536562</v>
      </c>
      <c r="Q222" s="224">
        <f t="shared" si="347"/>
        <v>6.3</v>
      </c>
      <c r="R222" s="224"/>
      <c r="S222" s="179">
        <f t="shared" si="348"/>
        <v>5412.5011546808319</v>
      </c>
      <c r="T222" s="179">
        <f t="shared" si="349"/>
        <v>6.3</v>
      </c>
      <c r="U222" s="224">
        <f t="shared" si="350"/>
        <v>8.0922137404580152E-3</v>
      </c>
      <c r="V222" s="224">
        <f t="shared" si="351"/>
        <v>8.9014351145038171E-3</v>
      </c>
      <c r="W222" s="224">
        <f t="shared" si="352"/>
        <v>3.3974943185129072E-2</v>
      </c>
      <c r="X222" s="204">
        <f t="shared" si="353"/>
        <v>350</v>
      </c>
      <c r="Y222" s="455">
        <f t="shared" si="354"/>
        <v>350</v>
      </c>
      <c r="AA222" s="224">
        <f t="shared" si="355"/>
        <v>0.539238891061395</v>
      </c>
      <c r="AB222" s="180">
        <f t="shared" si="356"/>
        <v>2.2639800769753222</v>
      </c>
      <c r="AC222" s="180">
        <f t="shared" si="357"/>
        <v>0.42728913713264249</v>
      </c>
      <c r="AD222" s="180"/>
      <c r="AE222" s="180">
        <f t="shared" si="358"/>
        <v>1.217557251908397</v>
      </c>
      <c r="AF222" s="564">
        <f t="shared" si="359"/>
        <v>16.992757539725432</v>
      </c>
      <c r="AG222" s="547">
        <f t="shared" si="360"/>
        <v>0.1235820610687023</v>
      </c>
      <c r="AI222" s="180">
        <f t="shared" si="361"/>
        <v>6.389927138173708E-2</v>
      </c>
      <c r="AJ222" s="180">
        <f t="shared" si="362"/>
        <v>0.28999999999999998</v>
      </c>
      <c r="AK222" s="180">
        <f t="shared" si="363"/>
        <v>1.0097101471655574</v>
      </c>
      <c r="AM222" s="564">
        <f t="shared" si="364"/>
        <v>6</v>
      </c>
      <c r="AN222" s="473">
        <f t="shared" si="365"/>
        <v>16.992757539725432</v>
      </c>
      <c r="AP222">
        <f t="shared" si="366"/>
        <v>6</v>
      </c>
      <c r="AQ222">
        <f t="shared" si="367"/>
        <v>16.992757539725432</v>
      </c>
      <c r="AS222" s="5">
        <f t="shared" si="326"/>
        <v>58.848600508905861</v>
      </c>
      <c r="AT222" s="5">
        <f t="shared" si="368"/>
        <v>0.31900000000000001</v>
      </c>
      <c r="AU222" s="5">
        <f t="shared" si="272"/>
        <v>58.529600508905858</v>
      </c>
      <c r="AV222" s="5"/>
      <c r="AW222" s="180">
        <f t="shared" si="273"/>
        <v>5.4206896551724131E-3</v>
      </c>
      <c r="AX222" s="180"/>
      <c r="CB222" s="582">
        <f t="shared" si="369"/>
        <v>-50</v>
      </c>
      <c r="CC222">
        <f t="shared" si="370"/>
        <v>-50</v>
      </c>
    </row>
    <row r="223" spans="5:83" x14ac:dyDescent="0.25">
      <c r="E223" s="177">
        <v>7</v>
      </c>
      <c r="F223" s="224">
        <f t="shared" si="371"/>
        <v>7.000000000000001E-3</v>
      </c>
      <c r="G223" s="224"/>
      <c r="H223" s="224">
        <f t="shared" si="340"/>
        <v>4.4100000000000007E-2</v>
      </c>
      <c r="I223" s="560">
        <f t="shared" si="341"/>
        <v>50</v>
      </c>
      <c r="J223" s="455">
        <f t="shared" si="342"/>
        <v>13.1</v>
      </c>
      <c r="K223" s="455">
        <f t="shared" si="343"/>
        <v>63.1</v>
      </c>
      <c r="L223" s="455"/>
      <c r="M223" s="224">
        <f t="shared" si="344"/>
        <v>0.20760697305863707</v>
      </c>
      <c r="N223" s="179">
        <f t="shared" si="345"/>
        <v>6.7731774960380342</v>
      </c>
      <c r="O223" s="179">
        <f t="shared" si="325"/>
        <v>4.4100000000000007E-2</v>
      </c>
      <c r="P223" s="224">
        <f t="shared" si="346"/>
        <v>1.0751075390536562</v>
      </c>
      <c r="Q223" s="224">
        <f t="shared" si="347"/>
        <v>6.3</v>
      </c>
      <c r="R223" s="224"/>
      <c r="S223" s="179">
        <f t="shared" si="348"/>
        <v>4635.7156338692321</v>
      </c>
      <c r="T223" s="179">
        <f t="shared" si="349"/>
        <v>6.3</v>
      </c>
      <c r="U223" s="224">
        <f t="shared" si="350"/>
        <v>9.4409160305343534E-3</v>
      </c>
      <c r="V223" s="224">
        <f t="shared" si="351"/>
        <v>1.0385007633587788E-2</v>
      </c>
      <c r="W223" s="224">
        <f t="shared" si="352"/>
        <v>3.9637433715983925E-2</v>
      </c>
      <c r="X223" s="204">
        <f t="shared" si="353"/>
        <v>350</v>
      </c>
      <c r="Y223" s="455">
        <f t="shared" si="354"/>
        <v>350</v>
      </c>
      <c r="AA223" s="224">
        <f t="shared" si="355"/>
        <v>0.539238891061395</v>
      </c>
      <c r="AB223" s="180">
        <f t="shared" si="356"/>
        <v>2.2639800769753222</v>
      </c>
      <c r="AC223" s="180">
        <f t="shared" si="357"/>
        <v>0.42728913713264249</v>
      </c>
      <c r="AD223" s="180"/>
      <c r="AE223" s="180">
        <f t="shared" si="358"/>
        <v>1.217557251908397</v>
      </c>
      <c r="AF223" s="564">
        <f t="shared" si="359"/>
        <v>19.824883796346342</v>
      </c>
      <c r="AG223" s="547">
        <f t="shared" si="360"/>
        <v>0.1235820610687023</v>
      </c>
      <c r="AI223" s="180">
        <f t="shared" si="361"/>
        <v>6.901910144037203E-2</v>
      </c>
      <c r="AJ223" s="180">
        <f t="shared" si="362"/>
        <v>0.28999999999999998</v>
      </c>
      <c r="AK223" s="180">
        <f t="shared" si="363"/>
        <v>1.0113285050264835</v>
      </c>
      <c r="AM223" s="564">
        <f t="shared" si="364"/>
        <v>7.0000000000000009</v>
      </c>
      <c r="AN223" s="473">
        <f t="shared" si="365"/>
        <v>19.824883796346342</v>
      </c>
      <c r="AP223">
        <f t="shared" si="366"/>
        <v>7.0000000000000009</v>
      </c>
      <c r="AQ223">
        <f t="shared" si="367"/>
        <v>19.824883796346342</v>
      </c>
      <c r="AS223" s="5">
        <f t="shared" si="326"/>
        <v>50.441657579062159</v>
      </c>
      <c r="AT223" s="5">
        <f t="shared" si="368"/>
        <v>0.31900000000000001</v>
      </c>
      <c r="AU223" s="5">
        <f t="shared" si="272"/>
        <v>50.122657579062157</v>
      </c>
      <c r="AV223" s="5"/>
      <c r="AW223" s="180">
        <f t="shared" si="273"/>
        <v>6.3241379310344827E-3</v>
      </c>
      <c r="AX223" s="180"/>
      <c r="CB223" s="582">
        <f t="shared" si="369"/>
        <v>-50</v>
      </c>
      <c r="CC223">
        <f t="shared" si="370"/>
        <v>-50</v>
      </c>
    </row>
    <row r="224" spans="5:83" x14ac:dyDescent="0.25">
      <c r="E224" s="177">
        <v>8</v>
      </c>
      <c r="F224" s="224">
        <f t="shared" si="371"/>
        <v>8.0000000000000002E-3</v>
      </c>
      <c r="G224" s="224"/>
      <c r="H224" s="224">
        <f t="shared" si="340"/>
        <v>5.04E-2</v>
      </c>
      <c r="I224" s="560">
        <f t="shared" si="341"/>
        <v>50</v>
      </c>
      <c r="J224" s="455">
        <f t="shared" si="342"/>
        <v>13.1</v>
      </c>
      <c r="K224" s="455">
        <f t="shared" si="343"/>
        <v>63.1</v>
      </c>
      <c r="L224" s="455"/>
      <c r="M224" s="224">
        <f t="shared" si="344"/>
        <v>0.20760697305863707</v>
      </c>
      <c r="N224" s="179">
        <f t="shared" si="345"/>
        <v>6.7731774960380342</v>
      </c>
      <c r="O224" s="179">
        <f t="shared" si="325"/>
        <v>5.04E-2</v>
      </c>
      <c r="P224" s="224">
        <f t="shared" si="346"/>
        <v>1.0751075390536562</v>
      </c>
      <c r="Q224" s="224">
        <f t="shared" si="347"/>
        <v>6.3</v>
      </c>
      <c r="R224" s="224"/>
      <c r="S224" s="179">
        <f t="shared" si="348"/>
        <v>4053.1265419243523</v>
      </c>
      <c r="T224" s="179">
        <f t="shared" si="349"/>
        <v>6.3</v>
      </c>
      <c r="U224" s="224">
        <f t="shared" si="350"/>
        <v>1.0789618320610688E-2</v>
      </c>
      <c r="V224" s="224">
        <f t="shared" si="351"/>
        <v>1.1868580152671757E-2</v>
      </c>
      <c r="W224" s="224">
        <f t="shared" si="352"/>
        <v>4.5299924246838763E-2</v>
      </c>
      <c r="X224" s="204">
        <f t="shared" si="353"/>
        <v>350</v>
      </c>
      <c r="Y224" s="455">
        <f t="shared" si="354"/>
        <v>350</v>
      </c>
      <c r="AA224" s="224">
        <f t="shared" si="355"/>
        <v>0.539238891061395</v>
      </c>
      <c r="AB224" s="180">
        <f t="shared" si="356"/>
        <v>2.2639800769753222</v>
      </c>
      <c r="AC224" s="180">
        <f t="shared" si="357"/>
        <v>0.42728913713264249</v>
      </c>
      <c r="AD224" s="180"/>
      <c r="AE224" s="180">
        <f t="shared" si="358"/>
        <v>1.217557251908397</v>
      </c>
      <c r="AF224" s="564">
        <f t="shared" si="359"/>
        <v>22.657010052967244</v>
      </c>
      <c r="AG224" s="547">
        <f t="shared" si="360"/>
        <v>0.1235820610687023</v>
      </c>
      <c r="AI224" s="180">
        <f t="shared" si="361"/>
        <v>7.37845230665337E-2</v>
      </c>
      <c r="AJ224" s="180">
        <f t="shared" si="362"/>
        <v>0.28999999999999998</v>
      </c>
      <c r="AK224" s="180">
        <f t="shared" si="363"/>
        <v>1.0129468628874099</v>
      </c>
      <c r="AM224" s="564">
        <f t="shared" si="364"/>
        <v>8</v>
      </c>
      <c r="AN224" s="473">
        <f t="shared" si="365"/>
        <v>22.657010052967244</v>
      </c>
      <c r="AP224">
        <f t="shared" si="366"/>
        <v>8</v>
      </c>
      <c r="AQ224">
        <f t="shared" si="367"/>
        <v>22.657010052967244</v>
      </c>
      <c r="AS224" s="5">
        <f t="shared" si="326"/>
        <v>44.136450381679396</v>
      </c>
      <c r="AT224" s="5">
        <f t="shared" si="368"/>
        <v>0.31900000000000001</v>
      </c>
      <c r="AU224" s="5">
        <f t="shared" si="272"/>
        <v>43.817450381679393</v>
      </c>
      <c r="AV224" s="5"/>
      <c r="AW224" s="180">
        <f t="shared" si="273"/>
        <v>7.2275862068965505E-3</v>
      </c>
      <c r="AX224" s="180"/>
      <c r="CB224" s="582">
        <f t="shared" si="369"/>
        <v>-50</v>
      </c>
      <c r="CC224">
        <f t="shared" si="370"/>
        <v>-50</v>
      </c>
    </row>
    <row r="225" spans="5:81" x14ac:dyDescent="0.25">
      <c r="E225" s="177">
        <v>9</v>
      </c>
      <c r="F225" s="224">
        <f t="shared" si="371"/>
        <v>8.9999999999999993E-3</v>
      </c>
      <c r="G225" s="224"/>
      <c r="H225" s="224">
        <f t="shared" si="340"/>
        <v>5.6699999999999993E-2</v>
      </c>
      <c r="I225" s="560">
        <f t="shared" si="341"/>
        <v>50</v>
      </c>
      <c r="J225" s="455">
        <f t="shared" si="342"/>
        <v>13.1</v>
      </c>
      <c r="K225" s="455">
        <f t="shared" si="343"/>
        <v>63.1</v>
      </c>
      <c r="L225" s="455"/>
      <c r="M225" s="224">
        <f t="shared" si="344"/>
        <v>0.20760697305863707</v>
      </c>
      <c r="N225" s="179">
        <f t="shared" si="345"/>
        <v>6.7731774960380342</v>
      </c>
      <c r="O225" s="179">
        <f t="shared" si="325"/>
        <v>5.6699999999999993E-2</v>
      </c>
      <c r="P225" s="224">
        <f t="shared" si="346"/>
        <v>1.0751075390536562</v>
      </c>
      <c r="Q225" s="224">
        <f t="shared" si="347"/>
        <v>6.3</v>
      </c>
      <c r="R225" s="224"/>
      <c r="S225" s="179">
        <f t="shared" si="348"/>
        <v>3600.0017359897197</v>
      </c>
      <c r="T225" s="179">
        <f t="shared" si="349"/>
        <v>6.3</v>
      </c>
      <c r="U225" s="224">
        <f t="shared" si="350"/>
        <v>1.2138320610687023E-2</v>
      </c>
      <c r="V225" s="224">
        <f t="shared" si="351"/>
        <v>1.3352152671755725E-2</v>
      </c>
      <c r="W225" s="224">
        <f t="shared" si="352"/>
        <v>5.0962414777693608E-2</v>
      </c>
      <c r="X225" s="204">
        <f t="shared" si="353"/>
        <v>350</v>
      </c>
      <c r="Y225" s="455">
        <f t="shared" si="354"/>
        <v>350</v>
      </c>
      <c r="AA225" s="224">
        <f t="shared" si="355"/>
        <v>0.539238891061395</v>
      </c>
      <c r="AB225" s="180">
        <f t="shared" si="356"/>
        <v>2.2639800769753222</v>
      </c>
      <c r="AC225" s="180">
        <f t="shared" si="357"/>
        <v>0.42728913713264249</v>
      </c>
      <c r="AD225" s="180"/>
      <c r="AE225" s="180">
        <f t="shared" si="358"/>
        <v>1.217557251908397</v>
      </c>
      <c r="AF225" s="564">
        <f t="shared" si="359"/>
        <v>25.489136309588147</v>
      </c>
      <c r="AG225" s="547">
        <f t="shared" si="360"/>
        <v>0.1235820610687023</v>
      </c>
      <c r="AI225" s="180">
        <f t="shared" si="361"/>
        <v>7.8260304910441822E-2</v>
      </c>
      <c r="AJ225" s="180">
        <f t="shared" si="362"/>
        <v>0.28999999999999998</v>
      </c>
      <c r="AK225" s="180">
        <f t="shared" si="363"/>
        <v>1.014565220748336</v>
      </c>
      <c r="AM225" s="564">
        <f t="shared" si="364"/>
        <v>9</v>
      </c>
      <c r="AN225" s="473">
        <f t="shared" si="365"/>
        <v>25.489136309588147</v>
      </c>
      <c r="AP225">
        <f t="shared" si="366"/>
        <v>9</v>
      </c>
      <c r="AQ225">
        <f t="shared" si="367"/>
        <v>25.489136309588147</v>
      </c>
      <c r="AS225" s="5">
        <f t="shared" si="326"/>
        <v>39.232400339270576</v>
      </c>
      <c r="AT225" s="5">
        <f t="shared" si="368"/>
        <v>0.31900000000000001</v>
      </c>
      <c r="AU225" s="5">
        <f t="shared" si="272"/>
        <v>38.913400339270574</v>
      </c>
      <c r="AV225" s="5"/>
      <c r="AW225" s="180">
        <f t="shared" si="273"/>
        <v>8.1310344827586183E-3</v>
      </c>
      <c r="AX225" s="180"/>
      <c r="CB225" s="582">
        <f t="shared" si="369"/>
        <v>-50</v>
      </c>
      <c r="CC225">
        <f t="shared" si="370"/>
        <v>-50</v>
      </c>
    </row>
    <row r="226" spans="5:81" x14ac:dyDescent="0.25">
      <c r="E226" s="177">
        <v>10</v>
      </c>
      <c r="F226" s="224">
        <f t="shared" si="371"/>
        <v>1.0000000000000002E-2</v>
      </c>
      <c r="G226" s="224"/>
      <c r="H226" s="224">
        <f t="shared" si="340"/>
        <v>6.3000000000000014E-2</v>
      </c>
      <c r="I226" s="560">
        <f t="shared" si="341"/>
        <v>50</v>
      </c>
      <c r="J226" s="455">
        <f t="shared" si="342"/>
        <v>13.1</v>
      </c>
      <c r="K226" s="455">
        <f t="shared" si="343"/>
        <v>63.1</v>
      </c>
      <c r="L226" s="455"/>
      <c r="M226" s="224">
        <f t="shared" si="344"/>
        <v>0.20760697305863707</v>
      </c>
      <c r="N226" s="179">
        <f t="shared" si="345"/>
        <v>6.7731774960380342</v>
      </c>
      <c r="O226" s="179">
        <f t="shared" si="325"/>
        <v>6.3000000000000014E-2</v>
      </c>
      <c r="P226" s="224">
        <f t="shared" si="346"/>
        <v>1.0751075390536562</v>
      </c>
      <c r="Q226" s="224">
        <f t="shared" si="347"/>
        <v>6.3</v>
      </c>
      <c r="R226" s="224"/>
      <c r="S226" s="179">
        <f t="shared" si="348"/>
        <v>3237.501930351717</v>
      </c>
      <c r="T226" s="179">
        <f t="shared" si="349"/>
        <v>6.3</v>
      </c>
      <c r="U226" s="224">
        <f t="shared" si="350"/>
        <v>1.3487022900763363E-2</v>
      </c>
      <c r="V226" s="224">
        <f t="shared" si="351"/>
        <v>1.4835725190839701E-2</v>
      </c>
      <c r="W226" s="224">
        <f t="shared" si="352"/>
        <v>5.6624905308548475E-2</v>
      </c>
      <c r="X226" s="204">
        <f t="shared" si="353"/>
        <v>350</v>
      </c>
      <c r="Y226" s="455">
        <f t="shared" si="354"/>
        <v>350</v>
      </c>
      <c r="AA226" s="224">
        <f t="shared" si="355"/>
        <v>0.539238891061395</v>
      </c>
      <c r="AB226" s="180">
        <f t="shared" si="356"/>
        <v>2.2639800769753222</v>
      </c>
      <c r="AC226" s="180">
        <f t="shared" si="357"/>
        <v>0.42728913713264249</v>
      </c>
      <c r="AD226" s="180"/>
      <c r="AE226" s="180">
        <f t="shared" si="358"/>
        <v>1.217557251908397</v>
      </c>
      <c r="AF226" s="564">
        <f t="shared" si="359"/>
        <v>28.321262566209061</v>
      </c>
      <c r="AG226" s="547">
        <f t="shared" si="360"/>
        <v>0.1235820610687023</v>
      </c>
      <c r="AI226" s="180">
        <f t="shared" si="361"/>
        <v>8.2493604632085299E-2</v>
      </c>
      <c r="AJ226" s="180">
        <f t="shared" si="362"/>
        <v>0.28999999999999998</v>
      </c>
      <c r="AK226" s="180">
        <f t="shared" si="363"/>
        <v>1.0161835786092623</v>
      </c>
      <c r="AM226" s="564">
        <f t="shared" si="364"/>
        <v>10.000000000000002</v>
      </c>
      <c r="AN226" s="473">
        <f t="shared" si="365"/>
        <v>28.321262566209061</v>
      </c>
      <c r="AP226">
        <f t="shared" si="366"/>
        <v>10.000000000000002</v>
      </c>
      <c r="AQ226">
        <f t="shared" si="367"/>
        <v>28.321262566209061</v>
      </c>
      <c r="AS226" s="5">
        <f t="shared" si="326"/>
        <v>35.309160305343504</v>
      </c>
      <c r="AT226" s="5">
        <f t="shared" si="368"/>
        <v>0.31900000000000001</v>
      </c>
      <c r="AU226" s="5">
        <f t="shared" si="272"/>
        <v>34.990160305343501</v>
      </c>
      <c r="AV226" s="5"/>
      <c r="AW226" s="180">
        <f t="shared" si="273"/>
        <v>9.0344827586206922E-3</v>
      </c>
      <c r="AX226" s="180"/>
      <c r="CB226" s="582">
        <f t="shared" si="369"/>
        <v>-50</v>
      </c>
      <c r="CC226">
        <f t="shared" si="370"/>
        <v>-50</v>
      </c>
    </row>
    <row r="227" spans="5:81" x14ac:dyDescent="0.25">
      <c r="E227" s="177">
        <v>11</v>
      </c>
      <c r="F227" s="224">
        <f t="shared" si="371"/>
        <v>1.1000000000000001E-2</v>
      </c>
      <c r="G227" s="224"/>
      <c r="H227" s="224">
        <f t="shared" si="340"/>
        <v>6.93E-2</v>
      </c>
      <c r="I227" s="560">
        <f t="shared" si="341"/>
        <v>50</v>
      </c>
      <c r="J227" s="455">
        <f t="shared" si="342"/>
        <v>13.1</v>
      </c>
      <c r="K227" s="455">
        <f t="shared" si="343"/>
        <v>63.1</v>
      </c>
      <c r="L227" s="455"/>
      <c r="M227" s="224">
        <f t="shared" si="344"/>
        <v>0.20760697305863707</v>
      </c>
      <c r="N227" s="179">
        <f t="shared" si="345"/>
        <v>6.7731774960380342</v>
      </c>
      <c r="O227" s="179">
        <f t="shared" si="325"/>
        <v>6.93E-2</v>
      </c>
      <c r="P227" s="224">
        <f t="shared" si="346"/>
        <v>1.0751075390536562</v>
      </c>
      <c r="Q227" s="224">
        <f t="shared" si="347"/>
        <v>6.3</v>
      </c>
      <c r="R227" s="224"/>
      <c r="S227" s="179">
        <f t="shared" si="348"/>
        <v>2940.9112159201122</v>
      </c>
      <c r="T227" s="179">
        <f t="shared" si="349"/>
        <v>6.3</v>
      </c>
      <c r="U227" s="224">
        <f t="shared" si="350"/>
        <v>1.4835725190839696E-2</v>
      </c>
      <c r="V227" s="224">
        <f t="shared" si="351"/>
        <v>1.6319297709923665E-2</v>
      </c>
      <c r="W227" s="224">
        <f t="shared" si="352"/>
        <v>6.2287395839403306E-2</v>
      </c>
      <c r="X227" s="204">
        <f t="shared" si="353"/>
        <v>350</v>
      </c>
      <c r="Y227" s="455">
        <f t="shared" si="354"/>
        <v>350</v>
      </c>
      <c r="AA227" s="224">
        <f t="shared" si="355"/>
        <v>0.539238891061395</v>
      </c>
      <c r="AB227" s="180">
        <f t="shared" si="356"/>
        <v>2.2639800769753222</v>
      </c>
      <c r="AC227" s="180">
        <f t="shared" si="357"/>
        <v>0.42728913713264249</v>
      </c>
      <c r="AD227" s="180"/>
      <c r="AE227" s="180">
        <f t="shared" si="358"/>
        <v>1.217557251908397</v>
      </c>
      <c r="AF227" s="564">
        <f t="shared" si="359"/>
        <v>31.15338882282996</v>
      </c>
      <c r="AG227" s="547">
        <f t="shared" si="360"/>
        <v>0.1235820610687023</v>
      </c>
      <c r="AI227" s="180">
        <f t="shared" si="361"/>
        <v>8.6520022455581255E-2</v>
      </c>
      <c r="AJ227" s="180">
        <f t="shared" si="362"/>
        <v>0.28999999999999998</v>
      </c>
      <c r="AK227" s="180">
        <f t="shared" si="363"/>
        <v>1.0178019364701885</v>
      </c>
      <c r="AM227" s="564">
        <f t="shared" si="364"/>
        <v>11.000000000000002</v>
      </c>
      <c r="AN227" s="473">
        <f t="shared" si="365"/>
        <v>31.15338882282996</v>
      </c>
      <c r="AP227">
        <f t="shared" si="366"/>
        <v>11.000000000000002</v>
      </c>
      <c r="AQ227">
        <f t="shared" si="367"/>
        <v>31.15338882282996</v>
      </c>
      <c r="AS227" s="5">
        <f t="shared" si="326"/>
        <v>32.099236641221381</v>
      </c>
      <c r="AT227" s="5">
        <f t="shared" si="368"/>
        <v>0.31900000000000001</v>
      </c>
      <c r="AU227" s="5">
        <f t="shared" si="272"/>
        <v>31.780236641221382</v>
      </c>
      <c r="AV227" s="5"/>
      <c r="AW227" s="180">
        <f t="shared" si="273"/>
        <v>9.9379310344827557E-3</v>
      </c>
      <c r="AX227" s="180"/>
      <c r="CB227" s="582">
        <f t="shared" si="369"/>
        <v>-50</v>
      </c>
      <c r="CC227">
        <f t="shared" si="370"/>
        <v>-50</v>
      </c>
    </row>
    <row r="228" spans="5:81" x14ac:dyDescent="0.25">
      <c r="E228" s="177">
        <v>12</v>
      </c>
      <c r="F228" s="224">
        <f t="shared" si="371"/>
        <v>1.2E-2</v>
      </c>
      <c r="G228" s="224"/>
      <c r="H228" s="224">
        <f t="shared" si="340"/>
        <v>7.5600000000000001E-2</v>
      </c>
      <c r="I228" s="560">
        <f t="shared" si="341"/>
        <v>50</v>
      </c>
      <c r="J228" s="455">
        <f t="shared" si="342"/>
        <v>13.1</v>
      </c>
      <c r="K228" s="455">
        <f t="shared" si="343"/>
        <v>63.1</v>
      </c>
      <c r="L228" s="455"/>
      <c r="M228" s="224">
        <f t="shared" si="344"/>
        <v>0.20760697305863707</v>
      </c>
      <c r="N228" s="179">
        <f t="shared" si="345"/>
        <v>6.7731774960380342</v>
      </c>
      <c r="O228" s="179">
        <f t="shared" si="325"/>
        <v>7.5600000000000001E-2</v>
      </c>
      <c r="P228" s="224">
        <f t="shared" si="346"/>
        <v>1.0751075390536562</v>
      </c>
      <c r="Q228" s="224">
        <f t="shared" si="347"/>
        <v>6.3</v>
      </c>
      <c r="R228" s="224"/>
      <c r="S228" s="179">
        <f t="shared" si="348"/>
        <v>2693.7523199683064</v>
      </c>
      <c r="T228" s="179">
        <f t="shared" si="349"/>
        <v>6.3</v>
      </c>
      <c r="U228" s="224">
        <f t="shared" si="350"/>
        <v>1.618442748091603E-2</v>
      </c>
      <c r="V228" s="224">
        <f t="shared" si="351"/>
        <v>1.7802870229007634E-2</v>
      </c>
      <c r="W228" s="224">
        <f t="shared" si="352"/>
        <v>6.7949886370258145E-2</v>
      </c>
      <c r="X228" s="204">
        <f t="shared" si="353"/>
        <v>350</v>
      </c>
      <c r="Y228" s="455">
        <f t="shared" si="354"/>
        <v>350</v>
      </c>
      <c r="AA228" s="224">
        <f t="shared" si="355"/>
        <v>0.539238891061395</v>
      </c>
      <c r="AB228" s="180">
        <f t="shared" si="356"/>
        <v>2.2639800769753222</v>
      </c>
      <c r="AC228" s="180">
        <f t="shared" si="357"/>
        <v>0.42728913713264249</v>
      </c>
      <c r="AD228" s="180"/>
      <c r="AE228" s="180">
        <f t="shared" si="358"/>
        <v>1.217557251908397</v>
      </c>
      <c r="AF228" s="564">
        <f t="shared" si="359"/>
        <v>33.985515079450863</v>
      </c>
      <c r="AG228" s="547">
        <f t="shared" si="360"/>
        <v>0.1235820610687023</v>
      </c>
      <c r="AI228" s="180">
        <f t="shared" si="361"/>
        <v>9.0367216213811552E-2</v>
      </c>
      <c r="AJ228" s="180">
        <f t="shared" si="362"/>
        <v>0.28999999999999998</v>
      </c>
      <c r="AK228" s="180">
        <f t="shared" si="363"/>
        <v>1.0194202943311148</v>
      </c>
      <c r="AM228" s="564">
        <f t="shared" si="364"/>
        <v>12</v>
      </c>
      <c r="AN228" s="473">
        <f t="shared" si="365"/>
        <v>33.985515079450863</v>
      </c>
      <c r="AP228">
        <f t="shared" si="366"/>
        <v>12</v>
      </c>
      <c r="AQ228">
        <f t="shared" si="367"/>
        <v>33.985515079450863</v>
      </c>
      <c r="AS228" s="5">
        <f t="shared" si="326"/>
        <v>29.42430025445293</v>
      </c>
      <c r="AT228" s="5">
        <f t="shared" si="368"/>
        <v>0.31900000000000001</v>
      </c>
      <c r="AU228" s="5">
        <f t="shared" si="272"/>
        <v>29.105300254452931</v>
      </c>
      <c r="AV228" s="5"/>
      <c r="AW228" s="180">
        <f t="shared" si="273"/>
        <v>1.0841379310344826E-2</v>
      </c>
      <c r="AX228" s="180"/>
      <c r="CB228" s="582">
        <f t="shared" si="369"/>
        <v>-50</v>
      </c>
      <c r="CC228">
        <f t="shared" si="370"/>
        <v>-50</v>
      </c>
    </row>
    <row r="229" spans="5:81" x14ac:dyDescent="0.25">
      <c r="E229" s="177">
        <v>13</v>
      </c>
      <c r="F229" s="224">
        <f t="shared" si="371"/>
        <v>1.3000000000000001E-2</v>
      </c>
      <c r="G229" s="224"/>
      <c r="H229" s="224">
        <f t="shared" si="340"/>
        <v>8.1900000000000001E-2</v>
      </c>
      <c r="I229" s="560">
        <f t="shared" si="341"/>
        <v>50</v>
      </c>
      <c r="J229" s="455">
        <f t="shared" si="342"/>
        <v>13.1</v>
      </c>
      <c r="K229" s="455">
        <f t="shared" si="343"/>
        <v>63.1</v>
      </c>
      <c r="L229" s="455"/>
      <c r="M229" s="224">
        <f t="shared" si="344"/>
        <v>0.20760697305863707</v>
      </c>
      <c r="N229" s="179">
        <f t="shared" si="345"/>
        <v>6.7731774960380342</v>
      </c>
      <c r="O229" s="179">
        <f t="shared" si="325"/>
        <v>8.1900000000000001E-2</v>
      </c>
      <c r="P229" s="224">
        <f t="shared" si="346"/>
        <v>1.0751075390536562</v>
      </c>
      <c r="Q229" s="224">
        <f t="shared" si="347"/>
        <v>6.3</v>
      </c>
      <c r="R229" s="224"/>
      <c r="S229" s="179">
        <f t="shared" si="348"/>
        <v>2484.617899839634</v>
      </c>
      <c r="T229" s="179">
        <f t="shared" si="349"/>
        <v>6.3</v>
      </c>
      <c r="U229" s="224">
        <f t="shared" si="350"/>
        <v>1.7533129770992369E-2</v>
      </c>
      <c r="V229" s="224">
        <f t="shared" si="351"/>
        <v>1.9286442748091607E-2</v>
      </c>
      <c r="W229" s="224">
        <f t="shared" si="352"/>
        <v>7.3612376901113011E-2</v>
      </c>
      <c r="X229" s="204">
        <f t="shared" si="353"/>
        <v>350</v>
      </c>
      <c r="Y229" s="455">
        <f t="shared" si="354"/>
        <v>350</v>
      </c>
      <c r="AA229" s="224">
        <f t="shared" si="355"/>
        <v>0.539238891061395</v>
      </c>
      <c r="AB229" s="180">
        <f t="shared" si="356"/>
        <v>2.2639800769753222</v>
      </c>
      <c r="AC229" s="180">
        <f t="shared" si="357"/>
        <v>0.42728913713264249</v>
      </c>
      <c r="AD229" s="180"/>
      <c r="AE229" s="180">
        <f t="shared" si="358"/>
        <v>1.217557251908397</v>
      </c>
      <c r="AF229" s="564">
        <f t="shared" si="359"/>
        <v>36.817641336071773</v>
      </c>
      <c r="AG229" s="547">
        <f t="shared" si="360"/>
        <v>0.1235820610687023</v>
      </c>
      <c r="AI229" s="180">
        <f t="shared" si="361"/>
        <v>9.4057180729348072E-2</v>
      </c>
      <c r="AJ229" s="180">
        <f t="shared" si="362"/>
        <v>0.28999999999999998</v>
      </c>
      <c r="AK229" s="180">
        <f t="shared" si="363"/>
        <v>1.0210386521920409</v>
      </c>
      <c r="AM229" s="564">
        <f t="shared" si="364"/>
        <v>13.000000000000002</v>
      </c>
      <c r="AN229" s="473">
        <f t="shared" si="365"/>
        <v>36.817641336071773</v>
      </c>
      <c r="AP229">
        <f t="shared" si="366"/>
        <v>13.000000000000002</v>
      </c>
      <c r="AQ229">
        <f t="shared" si="367"/>
        <v>36.817641336071773</v>
      </c>
      <c r="AS229" s="5">
        <f t="shared" si="326"/>
        <v>27.160892542571933</v>
      </c>
      <c r="AT229" s="5">
        <f t="shared" si="368"/>
        <v>0.31900000000000001</v>
      </c>
      <c r="AU229" s="5">
        <f t="shared" si="272"/>
        <v>26.841892542571934</v>
      </c>
      <c r="AV229" s="5"/>
      <c r="AW229" s="180">
        <f t="shared" si="273"/>
        <v>1.1744827586206897E-2</v>
      </c>
      <c r="AX229" s="180"/>
      <c r="CB229" s="582">
        <f t="shared" si="369"/>
        <v>-50</v>
      </c>
      <c r="CC229">
        <f t="shared" si="370"/>
        <v>-50</v>
      </c>
    </row>
    <row r="230" spans="5:81" x14ac:dyDescent="0.25">
      <c r="E230" s="177">
        <v>14</v>
      </c>
      <c r="F230" s="224">
        <f t="shared" si="371"/>
        <v>1.4000000000000002E-2</v>
      </c>
      <c r="G230" s="224"/>
      <c r="H230" s="224">
        <f t="shared" si="340"/>
        <v>8.8200000000000014E-2</v>
      </c>
      <c r="I230" s="560">
        <f t="shared" si="341"/>
        <v>50</v>
      </c>
      <c r="J230" s="455">
        <f t="shared" si="342"/>
        <v>13.1</v>
      </c>
      <c r="K230" s="455">
        <f t="shared" si="343"/>
        <v>63.1</v>
      </c>
      <c r="L230" s="455"/>
      <c r="M230" s="224">
        <f t="shared" si="344"/>
        <v>0.20760697305863707</v>
      </c>
      <c r="N230" s="179">
        <f t="shared" si="345"/>
        <v>6.7731774960380342</v>
      </c>
      <c r="O230" s="179">
        <f t="shared" si="325"/>
        <v>8.8200000000000014E-2</v>
      </c>
      <c r="P230" s="224">
        <f t="shared" si="346"/>
        <v>1.0751075390536562</v>
      </c>
      <c r="Q230" s="224">
        <f t="shared" si="347"/>
        <v>6.3</v>
      </c>
      <c r="R230" s="224"/>
      <c r="S230" s="179">
        <f t="shared" si="348"/>
        <v>2305.3598536366749</v>
      </c>
      <c r="T230" s="179">
        <f t="shared" si="349"/>
        <v>6.3</v>
      </c>
      <c r="U230" s="224">
        <f t="shared" si="350"/>
        <v>1.8881832061068707E-2</v>
      </c>
      <c r="V230" s="224">
        <f t="shared" si="351"/>
        <v>2.0770015267175576E-2</v>
      </c>
      <c r="W230" s="224">
        <f t="shared" si="352"/>
        <v>7.9274867431967849E-2</v>
      </c>
      <c r="X230" s="204">
        <f t="shared" si="353"/>
        <v>350</v>
      </c>
      <c r="Y230" s="455">
        <f t="shared" si="354"/>
        <v>350</v>
      </c>
      <c r="AA230" s="224">
        <f t="shared" si="355"/>
        <v>0.539238891061395</v>
      </c>
      <c r="AB230" s="180">
        <f t="shared" si="356"/>
        <v>2.2639800769753222</v>
      </c>
      <c r="AC230" s="180">
        <f t="shared" si="357"/>
        <v>0.42728913713264249</v>
      </c>
      <c r="AD230" s="180"/>
      <c r="AE230" s="180">
        <f t="shared" si="358"/>
        <v>1.217557251908397</v>
      </c>
      <c r="AF230" s="564">
        <f t="shared" si="359"/>
        <v>39.649767592692683</v>
      </c>
      <c r="AG230" s="547">
        <f t="shared" si="360"/>
        <v>0.1235820610687023</v>
      </c>
      <c r="AI230" s="180">
        <f t="shared" si="361"/>
        <v>9.7607749319778545E-2</v>
      </c>
      <c r="AJ230" s="180">
        <f t="shared" si="362"/>
        <v>0.28999999999999998</v>
      </c>
      <c r="AK230" s="180">
        <f t="shared" si="363"/>
        <v>1.0226570100529673</v>
      </c>
      <c r="AM230" s="564">
        <f t="shared" si="364"/>
        <v>14.000000000000002</v>
      </c>
      <c r="AN230" s="473">
        <f t="shared" si="365"/>
        <v>39.649767592692683</v>
      </c>
      <c r="AP230">
        <f t="shared" si="366"/>
        <v>14.000000000000002</v>
      </c>
      <c r="AQ230">
        <f t="shared" si="367"/>
        <v>39.649767592692683</v>
      </c>
      <c r="AS230" s="5">
        <f t="shared" si="326"/>
        <v>25.22082878953108</v>
      </c>
      <c r="AT230" s="5">
        <f t="shared" si="368"/>
        <v>0.31900000000000001</v>
      </c>
      <c r="AU230" s="5">
        <f t="shared" si="272"/>
        <v>24.901828789531081</v>
      </c>
      <c r="AV230" s="5"/>
      <c r="AW230" s="180">
        <f t="shared" si="273"/>
        <v>1.2648275862068965E-2</v>
      </c>
      <c r="AX230" s="180"/>
      <c r="CB230" s="582">
        <f t="shared" si="369"/>
        <v>-50</v>
      </c>
      <c r="CC230">
        <f t="shared" si="370"/>
        <v>-50</v>
      </c>
    </row>
    <row r="231" spans="5:81" x14ac:dyDescent="0.25">
      <c r="E231" s="177">
        <v>15</v>
      </c>
      <c r="F231" s="224">
        <f t="shared" si="371"/>
        <v>1.4999999999999999E-2</v>
      </c>
      <c r="G231" s="224"/>
      <c r="H231" s="224">
        <f t="shared" si="340"/>
        <v>9.4500000000000001E-2</v>
      </c>
      <c r="I231" s="560">
        <f t="shared" si="341"/>
        <v>50</v>
      </c>
      <c r="J231" s="455">
        <f t="shared" si="342"/>
        <v>13.1</v>
      </c>
      <c r="K231" s="455">
        <f t="shared" si="343"/>
        <v>63.1</v>
      </c>
      <c r="L231" s="455"/>
      <c r="M231" s="224">
        <f t="shared" si="344"/>
        <v>0.20760697305863707</v>
      </c>
      <c r="N231" s="179">
        <f t="shared" si="345"/>
        <v>6.7731774960380342</v>
      </c>
      <c r="O231" s="179">
        <f t="shared" si="325"/>
        <v>9.4500000000000001E-2</v>
      </c>
      <c r="P231" s="224">
        <f t="shared" si="346"/>
        <v>1.0751075390536562</v>
      </c>
      <c r="Q231" s="224">
        <f t="shared" si="347"/>
        <v>6.3</v>
      </c>
      <c r="R231" s="224"/>
      <c r="S231" s="179">
        <f t="shared" si="348"/>
        <v>2150.0029066348334</v>
      </c>
      <c r="T231" s="179">
        <f t="shared" si="349"/>
        <v>6.3</v>
      </c>
      <c r="U231" s="224">
        <f t="shared" si="350"/>
        <v>2.0230534351145042E-2</v>
      </c>
      <c r="V231" s="224">
        <f t="shared" si="351"/>
        <v>2.2253587786259545E-2</v>
      </c>
      <c r="W231" s="224">
        <f t="shared" si="352"/>
        <v>8.4937357962822702E-2</v>
      </c>
      <c r="X231" s="204">
        <f t="shared" si="353"/>
        <v>350</v>
      </c>
      <c r="Y231" s="455">
        <f t="shared" si="354"/>
        <v>350</v>
      </c>
      <c r="AA231" s="224">
        <f t="shared" si="355"/>
        <v>0.539238891061395</v>
      </c>
      <c r="AB231" s="180">
        <f t="shared" si="356"/>
        <v>2.2639800769753222</v>
      </c>
      <c r="AC231" s="180">
        <f t="shared" si="357"/>
        <v>0.42728913713264249</v>
      </c>
      <c r="AD231" s="180"/>
      <c r="AE231" s="180">
        <f t="shared" si="358"/>
        <v>1.217557251908397</v>
      </c>
      <c r="AF231" s="564">
        <f t="shared" si="359"/>
        <v>42.481893849313579</v>
      </c>
      <c r="AG231" s="547">
        <f t="shared" si="360"/>
        <v>0.1235820610687023</v>
      </c>
      <c r="AI231" s="180">
        <f t="shared" si="361"/>
        <v>0.10103361919575189</v>
      </c>
      <c r="AJ231" s="180">
        <f t="shared" si="362"/>
        <v>0.28999999999999998</v>
      </c>
      <c r="AK231" s="180">
        <f t="shared" si="363"/>
        <v>1.0242753679138934</v>
      </c>
      <c r="AM231" s="564">
        <f t="shared" si="364"/>
        <v>15</v>
      </c>
      <c r="AN231" s="473">
        <f t="shared" si="365"/>
        <v>42.481893849313579</v>
      </c>
      <c r="AP231">
        <f t="shared" si="366"/>
        <v>15</v>
      </c>
      <c r="AQ231">
        <f t="shared" si="367"/>
        <v>42.481893849313579</v>
      </c>
      <c r="AS231" s="5">
        <f t="shared" si="326"/>
        <v>23.539440203562346</v>
      </c>
      <c r="AT231" s="5">
        <f t="shared" si="368"/>
        <v>0.31900000000000001</v>
      </c>
      <c r="AU231" s="5">
        <f t="shared" si="272"/>
        <v>23.220440203562347</v>
      </c>
      <c r="AV231" s="5"/>
      <c r="AW231" s="180">
        <f t="shared" si="273"/>
        <v>1.3551724137931032E-2</v>
      </c>
      <c r="AX231" s="180"/>
      <c r="CB231" s="582">
        <f t="shared" si="369"/>
        <v>-50</v>
      </c>
      <c r="CC231">
        <f t="shared" si="370"/>
        <v>-50</v>
      </c>
    </row>
    <row r="232" spans="5:81" x14ac:dyDescent="0.25">
      <c r="E232" s="177">
        <v>16</v>
      </c>
      <c r="F232" s="224">
        <f t="shared" si="371"/>
        <v>1.6E-2</v>
      </c>
      <c r="G232" s="224"/>
      <c r="H232" s="224">
        <f t="shared" si="340"/>
        <v>0.1008</v>
      </c>
      <c r="I232" s="560">
        <f t="shared" si="341"/>
        <v>50</v>
      </c>
      <c r="J232" s="455">
        <f t="shared" si="342"/>
        <v>13.1</v>
      </c>
      <c r="K232" s="455">
        <f t="shared" si="343"/>
        <v>63.1</v>
      </c>
      <c r="L232" s="455"/>
      <c r="M232" s="224">
        <f t="shared" si="344"/>
        <v>0.20760697305863707</v>
      </c>
      <c r="N232" s="179">
        <f t="shared" si="345"/>
        <v>6.7731774960380342</v>
      </c>
      <c r="O232" s="179">
        <f t="shared" si="325"/>
        <v>0.1008</v>
      </c>
      <c r="P232" s="224">
        <f t="shared" si="346"/>
        <v>1.0751075390536562</v>
      </c>
      <c r="Q232" s="224">
        <f t="shared" si="347"/>
        <v>6.3</v>
      </c>
      <c r="R232" s="224"/>
      <c r="S232" s="179">
        <f t="shared" si="348"/>
        <v>2014.0656027908396</v>
      </c>
      <c r="T232" s="179">
        <f t="shared" si="349"/>
        <v>6.3</v>
      </c>
      <c r="U232" s="224">
        <f t="shared" si="350"/>
        <v>2.1579236641221376E-2</v>
      </c>
      <c r="V232" s="224">
        <f t="shared" si="351"/>
        <v>2.3737160305343515E-2</v>
      </c>
      <c r="W232" s="224">
        <f t="shared" si="352"/>
        <v>9.0599848493677526E-2</v>
      </c>
      <c r="X232" s="204">
        <f t="shared" si="353"/>
        <v>350</v>
      </c>
      <c r="Y232" s="455">
        <f t="shared" si="354"/>
        <v>350</v>
      </c>
      <c r="AA232" s="224">
        <f t="shared" si="355"/>
        <v>0.539238891061395</v>
      </c>
      <c r="AB232" s="180">
        <f t="shared" si="356"/>
        <v>2.2639800769753222</v>
      </c>
      <c r="AC232" s="180">
        <f t="shared" si="357"/>
        <v>0.42728913713264249</v>
      </c>
      <c r="AD232" s="180"/>
      <c r="AE232" s="180">
        <f t="shared" si="358"/>
        <v>1.217557251908397</v>
      </c>
      <c r="AF232" s="564">
        <f t="shared" si="359"/>
        <v>45.314020105934489</v>
      </c>
      <c r="AG232" s="547">
        <f t="shared" si="360"/>
        <v>0.1235820610687023</v>
      </c>
      <c r="AI232" s="180">
        <f t="shared" si="361"/>
        <v>0.10434707321392242</v>
      </c>
      <c r="AJ232" s="180">
        <f t="shared" si="362"/>
        <v>0.28999999999999998</v>
      </c>
      <c r="AK232" s="180">
        <f t="shared" si="363"/>
        <v>1.0258937257748197</v>
      </c>
      <c r="AM232" s="564">
        <f t="shared" si="364"/>
        <v>16</v>
      </c>
      <c r="AN232" s="473">
        <f t="shared" si="365"/>
        <v>45.314020105934489</v>
      </c>
      <c r="AP232">
        <f t="shared" si="366"/>
        <v>16</v>
      </c>
      <c r="AQ232">
        <f t="shared" si="367"/>
        <v>45.314020105934489</v>
      </c>
      <c r="AS232" s="5">
        <f t="shared" si="326"/>
        <v>22.068225190839698</v>
      </c>
      <c r="AT232" s="5">
        <f t="shared" si="368"/>
        <v>0.31900000000000001</v>
      </c>
      <c r="AU232" s="5">
        <f t="shared" si="272"/>
        <v>21.749225190839699</v>
      </c>
      <c r="AV232" s="5"/>
      <c r="AW232" s="180">
        <f t="shared" si="273"/>
        <v>1.4455172413793101E-2</v>
      </c>
      <c r="AX232" s="180"/>
      <c r="CB232" s="582">
        <f t="shared" si="369"/>
        <v>-50</v>
      </c>
      <c r="CC232">
        <f t="shared" si="370"/>
        <v>-50</v>
      </c>
    </row>
    <row r="233" spans="5:81" x14ac:dyDescent="0.25">
      <c r="E233" s="177">
        <v>17</v>
      </c>
      <c r="F233" s="224">
        <f t="shared" si="371"/>
        <v>1.7000000000000001E-2</v>
      </c>
      <c r="G233" s="224"/>
      <c r="H233" s="224">
        <f t="shared" si="340"/>
        <v>0.1071</v>
      </c>
      <c r="I233" s="560">
        <f t="shared" si="341"/>
        <v>50</v>
      </c>
      <c r="J233" s="455">
        <f t="shared" si="342"/>
        <v>13.1</v>
      </c>
      <c r="K233" s="455">
        <f t="shared" si="343"/>
        <v>63.1</v>
      </c>
      <c r="L233" s="455"/>
      <c r="M233" s="224">
        <f t="shared" si="344"/>
        <v>0.20760697305863707</v>
      </c>
      <c r="N233" s="179">
        <f t="shared" si="345"/>
        <v>6.7731774960380342</v>
      </c>
      <c r="O233" s="179">
        <f t="shared" si="325"/>
        <v>0.1071</v>
      </c>
      <c r="P233" s="224">
        <f t="shared" si="346"/>
        <v>1.0751075390536562</v>
      </c>
      <c r="Q233" s="224">
        <f t="shared" si="347"/>
        <v>6.3</v>
      </c>
      <c r="R233" s="224"/>
      <c r="S233" s="179">
        <f t="shared" si="348"/>
        <v>1894.1209463070577</v>
      </c>
      <c r="T233" s="179">
        <f t="shared" si="349"/>
        <v>6.3</v>
      </c>
      <c r="U233" s="224">
        <f t="shared" si="350"/>
        <v>2.2927938931297711E-2</v>
      </c>
      <c r="V233" s="224">
        <f t="shared" si="351"/>
        <v>2.5220732824427484E-2</v>
      </c>
      <c r="W233" s="224">
        <f t="shared" si="352"/>
        <v>9.6262339024532378E-2</v>
      </c>
      <c r="X233" s="204">
        <f t="shared" si="353"/>
        <v>350</v>
      </c>
      <c r="Y233" s="455">
        <f t="shared" si="354"/>
        <v>350</v>
      </c>
      <c r="AA233" s="224">
        <f t="shared" si="355"/>
        <v>0.539238891061395</v>
      </c>
      <c r="AB233" s="180">
        <f t="shared" si="356"/>
        <v>2.2639800769753222</v>
      </c>
      <c r="AC233" s="180">
        <f t="shared" si="357"/>
        <v>0.42728913713264249</v>
      </c>
      <c r="AD233" s="180"/>
      <c r="AE233" s="180">
        <f t="shared" si="358"/>
        <v>1.217557251908397</v>
      </c>
      <c r="AF233" s="564">
        <f t="shared" si="359"/>
        <v>48.146146362555392</v>
      </c>
      <c r="AG233" s="547">
        <f t="shared" si="360"/>
        <v>0.1235820610687023</v>
      </c>
      <c r="AI233" s="180">
        <f t="shared" si="361"/>
        <v>0.10755850114626536</v>
      </c>
      <c r="AJ233" s="180">
        <f t="shared" si="362"/>
        <v>0.28999999999999998</v>
      </c>
      <c r="AK233" s="180">
        <f t="shared" si="363"/>
        <v>1.0275120836357459</v>
      </c>
      <c r="AM233" s="564">
        <f t="shared" si="364"/>
        <v>17</v>
      </c>
      <c r="AN233" s="473">
        <f t="shared" si="365"/>
        <v>48.146146362555392</v>
      </c>
      <c r="AP233">
        <f t="shared" si="366"/>
        <v>17</v>
      </c>
      <c r="AQ233">
        <f t="shared" si="367"/>
        <v>48.146146362555392</v>
      </c>
      <c r="AS233" s="5">
        <f t="shared" si="326"/>
        <v>20.770094297260894</v>
      </c>
      <c r="AT233" s="5">
        <f t="shared" si="368"/>
        <v>0.31900000000000001</v>
      </c>
      <c r="AU233" s="5">
        <f t="shared" si="272"/>
        <v>20.451094297260894</v>
      </c>
      <c r="AV233" s="5"/>
      <c r="AW233" s="180">
        <f t="shared" si="273"/>
        <v>1.535862068965517E-2</v>
      </c>
      <c r="AX233" s="180"/>
      <c r="CB233" s="582">
        <f t="shared" si="369"/>
        <v>-50</v>
      </c>
      <c r="CC233">
        <f t="shared" si="370"/>
        <v>-50</v>
      </c>
    </row>
    <row r="234" spans="5:81" x14ac:dyDescent="0.25">
      <c r="E234" s="177">
        <v>18</v>
      </c>
      <c r="F234" s="224">
        <f t="shared" si="371"/>
        <v>1.7999999999999999E-2</v>
      </c>
      <c r="G234" s="224"/>
      <c r="H234" s="224">
        <f t="shared" si="340"/>
        <v>0.11339999999999999</v>
      </c>
      <c r="I234" s="560">
        <f t="shared" si="341"/>
        <v>50</v>
      </c>
      <c r="J234" s="455">
        <f t="shared" si="342"/>
        <v>13.1</v>
      </c>
      <c r="K234" s="455">
        <f t="shared" si="343"/>
        <v>63.1</v>
      </c>
      <c r="L234" s="455"/>
      <c r="M234" s="224">
        <f t="shared" si="344"/>
        <v>0.20760697305863707</v>
      </c>
      <c r="N234" s="179">
        <f t="shared" si="345"/>
        <v>6.7731774960380342</v>
      </c>
      <c r="O234" s="179">
        <f t="shared" si="325"/>
        <v>0.11339999999999999</v>
      </c>
      <c r="P234" s="224">
        <f t="shared" si="346"/>
        <v>1.0751075390536562</v>
      </c>
      <c r="Q234" s="224">
        <f t="shared" si="347"/>
        <v>6.3</v>
      </c>
      <c r="R234" s="224"/>
      <c r="S234" s="179">
        <f t="shared" si="348"/>
        <v>1787.5034960077069</v>
      </c>
      <c r="T234" s="179">
        <f t="shared" si="349"/>
        <v>6.3</v>
      </c>
      <c r="U234" s="224">
        <f t="shared" si="350"/>
        <v>2.4276641221374046E-2</v>
      </c>
      <c r="V234" s="224">
        <f t="shared" si="351"/>
        <v>2.670430534351145E-2</v>
      </c>
      <c r="W234" s="224">
        <f t="shared" si="352"/>
        <v>0.10192482955538722</v>
      </c>
      <c r="X234" s="204">
        <f t="shared" si="353"/>
        <v>350</v>
      </c>
      <c r="Y234" s="455">
        <f t="shared" si="354"/>
        <v>350</v>
      </c>
      <c r="AA234" s="224">
        <f t="shared" si="355"/>
        <v>0.539238891061395</v>
      </c>
      <c r="AB234" s="180">
        <f t="shared" si="356"/>
        <v>2.2639800769753222</v>
      </c>
      <c r="AC234" s="180">
        <f t="shared" si="357"/>
        <v>0.42728913713264249</v>
      </c>
      <c r="AD234" s="180"/>
      <c r="AE234" s="180">
        <f t="shared" si="358"/>
        <v>1.217557251908397</v>
      </c>
      <c r="AF234" s="564">
        <f t="shared" si="359"/>
        <v>50.978272619176295</v>
      </c>
      <c r="AG234" s="547">
        <f t="shared" si="360"/>
        <v>0.1235820610687023</v>
      </c>
      <c r="AI234" s="180">
        <f t="shared" si="361"/>
        <v>0.11067678459980054</v>
      </c>
      <c r="AJ234" s="180">
        <f t="shared" si="362"/>
        <v>0.28999999999999998</v>
      </c>
      <c r="AK234" s="180">
        <f t="shared" si="363"/>
        <v>1.0291304414966722</v>
      </c>
      <c r="AM234" s="564">
        <f t="shared" si="364"/>
        <v>18</v>
      </c>
      <c r="AN234" s="473">
        <f t="shared" si="365"/>
        <v>50.978272619176295</v>
      </c>
      <c r="AP234">
        <f t="shared" si="366"/>
        <v>18</v>
      </c>
      <c r="AQ234">
        <f t="shared" si="367"/>
        <v>50.978272619176295</v>
      </c>
      <c r="AS234" s="5">
        <f t="shared" si="326"/>
        <v>19.616200169635288</v>
      </c>
      <c r="AT234" s="5">
        <f t="shared" si="368"/>
        <v>0.31900000000000001</v>
      </c>
      <c r="AU234" s="5">
        <f t="shared" ref="AU234:AU297" si="372">AS234-AT234</f>
        <v>19.297200169635289</v>
      </c>
      <c r="AV234" s="5"/>
      <c r="AW234" s="180">
        <f t="shared" ref="AW234:AW297" si="373">AT234/AS234</f>
        <v>1.6262068965517237E-2</v>
      </c>
      <c r="AX234" s="180"/>
      <c r="CB234" s="582">
        <f t="shared" si="369"/>
        <v>-50</v>
      </c>
      <c r="CC234">
        <f t="shared" si="370"/>
        <v>-50</v>
      </c>
    </row>
    <row r="235" spans="5:81" x14ac:dyDescent="0.25">
      <c r="E235" s="177">
        <v>19</v>
      </c>
      <c r="F235" s="224">
        <f t="shared" si="371"/>
        <v>1.9000000000000003E-2</v>
      </c>
      <c r="G235" s="224"/>
      <c r="H235" s="224">
        <f t="shared" si="340"/>
        <v>0.11970000000000001</v>
      </c>
      <c r="I235" s="560">
        <f t="shared" si="341"/>
        <v>50</v>
      </c>
      <c r="J235" s="455">
        <f t="shared" si="342"/>
        <v>13.1</v>
      </c>
      <c r="K235" s="455">
        <f t="shared" si="343"/>
        <v>63.1</v>
      </c>
      <c r="L235" s="455"/>
      <c r="M235" s="224">
        <f t="shared" si="344"/>
        <v>0.20760697305863707</v>
      </c>
      <c r="N235" s="179">
        <f t="shared" si="345"/>
        <v>6.7731774960380342</v>
      </c>
      <c r="O235" s="179">
        <f t="shared" si="325"/>
        <v>0.11970000000000001</v>
      </c>
      <c r="P235" s="224">
        <f t="shared" si="346"/>
        <v>1.0751075390536562</v>
      </c>
      <c r="Q235" s="224">
        <f t="shared" si="347"/>
        <v>6.3</v>
      </c>
      <c r="R235" s="224"/>
      <c r="S235" s="179">
        <f t="shared" si="348"/>
        <v>1692.108956227841</v>
      </c>
      <c r="T235" s="179">
        <f t="shared" si="349"/>
        <v>6.3</v>
      </c>
      <c r="U235" s="224">
        <f t="shared" si="350"/>
        <v>2.5625343511450387E-2</v>
      </c>
      <c r="V235" s="224">
        <f t="shared" si="351"/>
        <v>2.8187877862595429E-2</v>
      </c>
      <c r="W235" s="224">
        <f t="shared" si="352"/>
        <v>0.1075873200862421</v>
      </c>
      <c r="X235" s="204">
        <f t="shared" si="353"/>
        <v>350</v>
      </c>
      <c r="Y235" s="455">
        <f t="shared" si="354"/>
        <v>350</v>
      </c>
      <c r="AA235" s="224">
        <f t="shared" si="355"/>
        <v>0.539238891061395</v>
      </c>
      <c r="AB235" s="180">
        <f t="shared" si="356"/>
        <v>2.2639800769753222</v>
      </c>
      <c r="AC235" s="180">
        <f t="shared" si="357"/>
        <v>0.42728913713264249</v>
      </c>
      <c r="AD235" s="180"/>
      <c r="AE235" s="180">
        <f t="shared" si="358"/>
        <v>1.217557251908397</v>
      </c>
      <c r="AF235" s="564">
        <f t="shared" si="359"/>
        <v>53.810398875797212</v>
      </c>
      <c r="AG235" s="547">
        <f t="shared" si="360"/>
        <v>0.1235820610687023</v>
      </c>
      <c r="AI235" s="180">
        <f t="shared" si="361"/>
        <v>0.11370958679843195</v>
      </c>
      <c r="AJ235" s="180">
        <f t="shared" si="362"/>
        <v>0.28999999999999998</v>
      </c>
      <c r="AK235" s="180">
        <f t="shared" si="363"/>
        <v>1.0307487993575983</v>
      </c>
      <c r="AM235" s="564">
        <f t="shared" si="364"/>
        <v>19.000000000000004</v>
      </c>
      <c r="AN235" s="473">
        <f t="shared" si="365"/>
        <v>53.810398875797212</v>
      </c>
      <c r="AP235">
        <f t="shared" si="366"/>
        <v>19.000000000000004</v>
      </c>
      <c r="AQ235">
        <f t="shared" si="367"/>
        <v>53.810398875797212</v>
      </c>
      <c r="AS235" s="5">
        <f t="shared" si="326"/>
        <v>18.583768581759742</v>
      </c>
      <c r="AT235" s="5">
        <f t="shared" si="368"/>
        <v>0.31900000000000001</v>
      </c>
      <c r="AU235" s="5">
        <f t="shared" si="372"/>
        <v>18.264768581759743</v>
      </c>
      <c r="AV235" s="5"/>
      <c r="AW235" s="180">
        <f t="shared" si="373"/>
        <v>1.7165517241379311E-2</v>
      </c>
      <c r="AX235" s="180"/>
      <c r="CB235" s="582">
        <f t="shared" si="369"/>
        <v>-50</v>
      </c>
      <c r="CC235">
        <f t="shared" si="370"/>
        <v>-50</v>
      </c>
    </row>
    <row r="236" spans="5:81" x14ac:dyDescent="0.25">
      <c r="E236" s="177">
        <v>20</v>
      </c>
      <c r="F236" s="224">
        <f t="shared" si="371"/>
        <v>2.0000000000000004E-2</v>
      </c>
      <c r="G236" s="224"/>
      <c r="H236" s="224">
        <f t="shared" si="340"/>
        <v>0.12600000000000003</v>
      </c>
      <c r="I236" s="560">
        <f t="shared" si="341"/>
        <v>50</v>
      </c>
      <c r="J236" s="455">
        <f t="shared" si="342"/>
        <v>13.1</v>
      </c>
      <c r="K236" s="455">
        <f t="shared" si="343"/>
        <v>63.1</v>
      </c>
      <c r="L236" s="455"/>
      <c r="M236" s="224">
        <f t="shared" si="344"/>
        <v>0.20760697305863707</v>
      </c>
      <c r="N236" s="179">
        <f t="shared" si="345"/>
        <v>6.7731774960380342</v>
      </c>
      <c r="O236" s="179">
        <f t="shared" si="325"/>
        <v>0.12600000000000003</v>
      </c>
      <c r="P236" s="224">
        <f t="shared" si="346"/>
        <v>1.0751075390536562</v>
      </c>
      <c r="Q236" s="224">
        <f t="shared" si="347"/>
        <v>6.3</v>
      </c>
      <c r="R236" s="224"/>
      <c r="S236" s="179">
        <f t="shared" si="348"/>
        <v>1606.2538904356452</v>
      </c>
      <c r="T236" s="179">
        <f t="shared" si="349"/>
        <v>6.3</v>
      </c>
      <c r="U236" s="224">
        <f t="shared" si="350"/>
        <v>2.6974045801526726E-2</v>
      </c>
      <c r="V236" s="224">
        <f t="shared" si="351"/>
        <v>2.9671450381679402E-2</v>
      </c>
      <c r="W236" s="224">
        <f t="shared" si="352"/>
        <v>0.11324981061709695</v>
      </c>
      <c r="X236" s="204">
        <f t="shared" si="353"/>
        <v>350</v>
      </c>
      <c r="Y236" s="455">
        <f t="shared" si="354"/>
        <v>350</v>
      </c>
      <c r="AA236" s="224">
        <f t="shared" si="355"/>
        <v>0.539238891061395</v>
      </c>
      <c r="AB236" s="180">
        <f t="shared" si="356"/>
        <v>2.2639800769753222</v>
      </c>
      <c r="AC236" s="180">
        <f t="shared" si="357"/>
        <v>0.42728913713264249</v>
      </c>
      <c r="AD236" s="180"/>
      <c r="AE236" s="180">
        <f t="shared" si="358"/>
        <v>1.217557251908397</v>
      </c>
      <c r="AF236" s="564">
        <f t="shared" si="359"/>
        <v>56.642525132418122</v>
      </c>
      <c r="AG236" s="547">
        <f t="shared" si="360"/>
        <v>0.1235820610687023</v>
      </c>
      <c r="AI236" s="180">
        <f t="shared" si="361"/>
        <v>0.116663574479739</v>
      </c>
      <c r="AJ236" s="180">
        <f t="shared" si="362"/>
        <v>0.28999999999999998</v>
      </c>
      <c r="AK236" s="180">
        <f t="shared" si="363"/>
        <v>1.0323671572185247</v>
      </c>
      <c r="AM236" s="564">
        <f t="shared" si="364"/>
        <v>20.000000000000004</v>
      </c>
      <c r="AN236" s="473">
        <f t="shared" si="365"/>
        <v>56.642525132418122</v>
      </c>
      <c r="AP236">
        <f t="shared" si="366"/>
        <v>20.000000000000004</v>
      </c>
      <c r="AQ236">
        <f t="shared" si="367"/>
        <v>56.642525132418122</v>
      </c>
      <c r="AS236" s="5">
        <f t="shared" si="326"/>
        <v>17.654580152671752</v>
      </c>
      <c r="AT236" s="5">
        <f t="shared" si="368"/>
        <v>0.31900000000000001</v>
      </c>
      <c r="AU236" s="5">
        <f t="shared" si="372"/>
        <v>17.335580152671753</v>
      </c>
      <c r="AV236" s="5"/>
      <c r="AW236" s="180">
        <f t="shared" si="373"/>
        <v>1.8068965517241384E-2</v>
      </c>
      <c r="AX236" s="180"/>
      <c r="CB236" s="582">
        <f t="shared" si="369"/>
        <v>-50</v>
      </c>
      <c r="CC236">
        <f t="shared" si="370"/>
        <v>-50</v>
      </c>
    </row>
    <row r="237" spans="5:81" x14ac:dyDescent="0.25">
      <c r="E237" s="177">
        <v>21</v>
      </c>
      <c r="F237" s="224">
        <f t="shared" si="371"/>
        <v>2.1000000000000001E-2</v>
      </c>
      <c r="G237" s="224"/>
      <c r="H237" s="224">
        <f t="shared" si="340"/>
        <v>0.1323</v>
      </c>
      <c r="I237" s="560">
        <f t="shared" si="341"/>
        <v>50</v>
      </c>
      <c r="J237" s="455">
        <f t="shared" si="342"/>
        <v>13.1</v>
      </c>
      <c r="K237" s="455">
        <f t="shared" si="343"/>
        <v>63.1</v>
      </c>
      <c r="L237" s="455"/>
      <c r="M237" s="224">
        <f t="shared" si="344"/>
        <v>0.20760697305863707</v>
      </c>
      <c r="N237" s="179">
        <f t="shared" si="345"/>
        <v>6.7731774960380342</v>
      </c>
      <c r="O237" s="179">
        <f t="shared" si="325"/>
        <v>0.1323</v>
      </c>
      <c r="P237" s="224">
        <f t="shared" si="346"/>
        <v>1.0751075390536562</v>
      </c>
      <c r="Q237" s="224">
        <f t="shared" si="347"/>
        <v>6.3</v>
      </c>
      <c r="R237" s="224"/>
      <c r="S237" s="179">
        <f t="shared" si="348"/>
        <v>1528.5755166769263</v>
      </c>
      <c r="T237" s="179">
        <f t="shared" si="349"/>
        <v>6.3</v>
      </c>
      <c r="U237" s="224">
        <f t="shared" si="350"/>
        <v>2.8322748091603057E-2</v>
      </c>
      <c r="V237" s="224">
        <f t="shared" si="351"/>
        <v>3.1155022900763361E-2</v>
      </c>
      <c r="W237" s="224">
        <f t="shared" si="352"/>
        <v>0.11891230114795177</v>
      </c>
      <c r="X237" s="204">
        <f t="shared" si="353"/>
        <v>350</v>
      </c>
      <c r="Y237" s="455">
        <f t="shared" si="354"/>
        <v>350</v>
      </c>
      <c r="AA237" s="224">
        <f t="shared" si="355"/>
        <v>0.539238891061395</v>
      </c>
      <c r="AB237" s="180">
        <f t="shared" si="356"/>
        <v>2.2639800769753222</v>
      </c>
      <c r="AC237" s="180">
        <f t="shared" si="357"/>
        <v>0.42728913713264249</v>
      </c>
      <c r="AD237" s="180"/>
      <c r="AE237" s="180">
        <f t="shared" si="358"/>
        <v>1.217557251908397</v>
      </c>
      <c r="AF237" s="564">
        <f t="shared" si="359"/>
        <v>59.474651389039018</v>
      </c>
      <c r="AG237" s="547">
        <f t="shared" si="360"/>
        <v>0.1235820610687023</v>
      </c>
      <c r="AI237" s="180">
        <f t="shared" si="361"/>
        <v>0.11954459038747463</v>
      </c>
      <c r="AJ237" s="180">
        <f t="shared" si="362"/>
        <v>0.28999999999999998</v>
      </c>
      <c r="AK237" s="180">
        <f t="shared" si="363"/>
        <v>1.0339855150794508</v>
      </c>
      <c r="AM237" s="564">
        <f t="shared" si="364"/>
        <v>21</v>
      </c>
      <c r="AN237" s="473">
        <f t="shared" si="365"/>
        <v>59.474651389039018</v>
      </c>
      <c r="AP237">
        <f t="shared" si="366"/>
        <v>21</v>
      </c>
      <c r="AQ237">
        <f t="shared" si="367"/>
        <v>59.474651389039018</v>
      </c>
      <c r="AS237" s="5">
        <f t="shared" si="326"/>
        <v>16.813885859687389</v>
      </c>
      <c r="AT237" s="5">
        <f t="shared" si="368"/>
        <v>0.31900000000000001</v>
      </c>
      <c r="AU237" s="5">
        <f t="shared" si="372"/>
        <v>16.49488585968739</v>
      </c>
      <c r="AV237" s="5"/>
      <c r="AW237" s="180">
        <f t="shared" si="373"/>
        <v>1.8972413793103445E-2</v>
      </c>
      <c r="AX237" s="180"/>
      <c r="CB237" s="582">
        <f t="shared" si="369"/>
        <v>-50</v>
      </c>
      <c r="CC237">
        <f t="shared" si="370"/>
        <v>-50</v>
      </c>
    </row>
    <row r="238" spans="5:81" x14ac:dyDescent="0.25">
      <c r="E238" s="177">
        <v>22</v>
      </c>
      <c r="F238" s="224">
        <f t="shared" si="371"/>
        <v>2.2000000000000002E-2</v>
      </c>
      <c r="G238" s="224"/>
      <c r="H238" s="224">
        <f t="shared" si="340"/>
        <v>0.1386</v>
      </c>
      <c r="I238" s="560">
        <f t="shared" si="341"/>
        <v>50</v>
      </c>
      <c r="J238" s="455">
        <f t="shared" si="342"/>
        <v>13.1</v>
      </c>
      <c r="K238" s="455">
        <f t="shared" si="343"/>
        <v>63.1</v>
      </c>
      <c r="L238" s="455"/>
      <c r="M238" s="224">
        <f t="shared" si="344"/>
        <v>0.20760697305863707</v>
      </c>
      <c r="N238" s="179">
        <f t="shared" si="345"/>
        <v>6.7731774960380342</v>
      </c>
      <c r="O238" s="179">
        <f t="shared" si="325"/>
        <v>0.1386</v>
      </c>
      <c r="P238" s="224">
        <f t="shared" si="346"/>
        <v>1.0751075390536562</v>
      </c>
      <c r="Q238" s="224">
        <f t="shared" si="347"/>
        <v>6.3</v>
      </c>
      <c r="R238" s="224"/>
      <c r="S238" s="179">
        <f t="shared" si="348"/>
        <v>1457.9588315347453</v>
      </c>
      <c r="T238" s="179">
        <f t="shared" si="349"/>
        <v>6.3</v>
      </c>
      <c r="U238" s="224">
        <f t="shared" si="350"/>
        <v>2.9671450381679391E-2</v>
      </c>
      <c r="V238" s="224">
        <f t="shared" si="351"/>
        <v>3.263859541984733E-2</v>
      </c>
      <c r="W238" s="224">
        <f t="shared" si="352"/>
        <v>0.12457479167880661</v>
      </c>
      <c r="X238" s="204">
        <f t="shared" si="353"/>
        <v>350</v>
      </c>
      <c r="Y238" s="455">
        <f t="shared" si="354"/>
        <v>350</v>
      </c>
      <c r="AA238" s="224">
        <f t="shared" si="355"/>
        <v>0.539238891061395</v>
      </c>
      <c r="AB238" s="180">
        <f t="shared" si="356"/>
        <v>2.2639800769753222</v>
      </c>
      <c r="AC238" s="180">
        <f t="shared" si="357"/>
        <v>0.42728913713264249</v>
      </c>
      <c r="AD238" s="180"/>
      <c r="AE238" s="180">
        <f t="shared" si="358"/>
        <v>1.217557251908397</v>
      </c>
      <c r="AF238" s="564">
        <f t="shared" si="359"/>
        <v>62.30677764565992</v>
      </c>
      <c r="AG238" s="547">
        <f t="shared" si="360"/>
        <v>0.1235820610687023</v>
      </c>
      <c r="AI238" s="180">
        <f t="shared" si="361"/>
        <v>0.12235778917350776</v>
      </c>
      <c r="AJ238" s="180">
        <f t="shared" si="362"/>
        <v>0.28999999999999998</v>
      </c>
      <c r="AK238" s="180">
        <f t="shared" si="363"/>
        <v>1.0356038729403771</v>
      </c>
      <c r="AM238" s="564">
        <f t="shared" si="364"/>
        <v>22.000000000000004</v>
      </c>
      <c r="AN238" s="473">
        <f t="shared" si="365"/>
        <v>62.30677764565992</v>
      </c>
      <c r="AP238">
        <f t="shared" si="366"/>
        <v>22.000000000000004</v>
      </c>
      <c r="AQ238">
        <f t="shared" si="367"/>
        <v>62.30677764565992</v>
      </c>
      <c r="AS238" s="5">
        <f t="shared" si="326"/>
        <v>16.049618320610691</v>
      </c>
      <c r="AT238" s="5">
        <f t="shared" si="368"/>
        <v>0.31900000000000001</v>
      </c>
      <c r="AU238" s="5">
        <f t="shared" si="372"/>
        <v>15.73061832061069</v>
      </c>
      <c r="AV238" s="5"/>
      <c r="AW238" s="180">
        <f t="shared" si="373"/>
        <v>1.9875862068965511E-2</v>
      </c>
      <c r="AX238" s="180"/>
      <c r="CB238" s="582">
        <f t="shared" si="369"/>
        <v>-50</v>
      </c>
      <c r="CC238">
        <f t="shared" si="370"/>
        <v>-50</v>
      </c>
    </row>
    <row r="239" spans="5:81" x14ac:dyDescent="0.25">
      <c r="E239" s="177">
        <v>23</v>
      </c>
      <c r="F239" s="224">
        <f t="shared" si="371"/>
        <v>2.3000000000000003E-2</v>
      </c>
      <c r="G239" s="224"/>
      <c r="H239" s="224">
        <f t="shared" si="340"/>
        <v>0.14490000000000003</v>
      </c>
      <c r="I239" s="560">
        <f t="shared" si="341"/>
        <v>50</v>
      </c>
      <c r="J239" s="455">
        <f t="shared" si="342"/>
        <v>13.1</v>
      </c>
      <c r="K239" s="455">
        <f t="shared" si="343"/>
        <v>63.1</v>
      </c>
      <c r="L239" s="455"/>
      <c r="M239" s="224">
        <f t="shared" si="344"/>
        <v>0.20760697305863707</v>
      </c>
      <c r="N239" s="179">
        <f t="shared" si="345"/>
        <v>6.7731774960380342</v>
      </c>
      <c r="O239" s="179">
        <f t="shared" si="325"/>
        <v>0.14490000000000003</v>
      </c>
      <c r="P239" s="224">
        <f t="shared" si="346"/>
        <v>1.0751075390536562</v>
      </c>
      <c r="Q239" s="224">
        <f t="shared" si="347"/>
        <v>6.3</v>
      </c>
      <c r="R239" s="224"/>
      <c r="S239" s="179">
        <f t="shared" si="348"/>
        <v>1393.4827452300149</v>
      </c>
      <c r="T239" s="179">
        <f t="shared" si="349"/>
        <v>6.3</v>
      </c>
      <c r="U239" s="224">
        <f t="shared" si="350"/>
        <v>3.1020152671755733E-2</v>
      </c>
      <c r="V239" s="224">
        <f t="shared" si="351"/>
        <v>3.412216793893131E-2</v>
      </c>
      <c r="W239" s="224">
        <f t="shared" si="352"/>
        <v>0.13023728220966149</v>
      </c>
      <c r="X239" s="204">
        <f t="shared" si="353"/>
        <v>350</v>
      </c>
      <c r="Y239" s="455">
        <f t="shared" si="354"/>
        <v>350</v>
      </c>
      <c r="AA239" s="224">
        <f t="shared" si="355"/>
        <v>0.539238891061395</v>
      </c>
      <c r="AB239" s="180">
        <f t="shared" si="356"/>
        <v>2.2639800769753222</v>
      </c>
      <c r="AC239" s="180">
        <f t="shared" si="357"/>
        <v>0.42728913713264249</v>
      </c>
      <c r="AD239" s="180"/>
      <c r="AE239" s="180">
        <f t="shared" si="358"/>
        <v>1.217557251908397</v>
      </c>
      <c r="AF239" s="564">
        <f t="shared" si="359"/>
        <v>65.13890390228083</v>
      </c>
      <c r="AG239" s="547">
        <f t="shared" si="360"/>
        <v>0.1235820610687023</v>
      </c>
      <c r="AI239" s="180">
        <f t="shared" si="361"/>
        <v>0.12510774577118738</v>
      </c>
      <c r="AJ239" s="180">
        <f t="shared" si="362"/>
        <v>0.28999999999999998</v>
      </c>
      <c r="AK239" s="180">
        <f t="shared" si="363"/>
        <v>1.0372222308013033</v>
      </c>
      <c r="AM239" s="564">
        <f t="shared" si="364"/>
        <v>23.000000000000004</v>
      </c>
      <c r="AN239" s="473">
        <f t="shared" si="365"/>
        <v>65.13890390228083</v>
      </c>
      <c r="AP239">
        <f t="shared" si="366"/>
        <v>23.000000000000004</v>
      </c>
      <c r="AQ239">
        <f t="shared" si="367"/>
        <v>65.13890390228083</v>
      </c>
      <c r="AS239" s="5">
        <f t="shared" si="326"/>
        <v>15.351808828410224</v>
      </c>
      <c r="AT239" s="5">
        <f t="shared" si="368"/>
        <v>0.31900000000000001</v>
      </c>
      <c r="AU239" s="5">
        <f t="shared" si="372"/>
        <v>15.032808828410223</v>
      </c>
      <c r="AV239" s="5"/>
      <c r="AW239" s="180">
        <f t="shared" si="373"/>
        <v>2.0779310344827585E-2</v>
      </c>
      <c r="AX239" s="180"/>
      <c r="CB239" s="582">
        <f t="shared" si="369"/>
        <v>-50</v>
      </c>
      <c r="CC239">
        <f t="shared" si="370"/>
        <v>-50</v>
      </c>
    </row>
    <row r="240" spans="5:81" x14ac:dyDescent="0.25">
      <c r="E240" s="177">
        <v>24</v>
      </c>
      <c r="F240" s="224">
        <f t="shared" si="371"/>
        <v>2.4E-2</v>
      </c>
      <c r="G240" s="224"/>
      <c r="H240" s="224">
        <f t="shared" si="340"/>
        <v>0.1512</v>
      </c>
      <c r="I240" s="560">
        <f t="shared" si="341"/>
        <v>50</v>
      </c>
      <c r="J240" s="455">
        <f t="shared" si="342"/>
        <v>13.1</v>
      </c>
      <c r="K240" s="455">
        <f t="shared" si="343"/>
        <v>63.1</v>
      </c>
      <c r="L240" s="455"/>
      <c r="M240" s="224">
        <f t="shared" si="344"/>
        <v>0.20760697305863707</v>
      </c>
      <c r="N240" s="179">
        <f t="shared" si="345"/>
        <v>6.7731774960380342</v>
      </c>
      <c r="O240" s="179">
        <f t="shared" si="325"/>
        <v>0.1512</v>
      </c>
      <c r="P240" s="224">
        <f t="shared" si="346"/>
        <v>1.0751075390536562</v>
      </c>
      <c r="Q240" s="224">
        <f t="shared" si="347"/>
        <v>6.3</v>
      </c>
      <c r="R240" s="224"/>
      <c r="S240" s="179">
        <f t="shared" si="348"/>
        <v>1334.3796829469477</v>
      </c>
      <c r="T240" s="179">
        <f t="shared" si="349"/>
        <v>6.3</v>
      </c>
      <c r="U240" s="224">
        <f t="shared" si="350"/>
        <v>3.2368854961832061E-2</v>
      </c>
      <c r="V240" s="224">
        <f t="shared" si="351"/>
        <v>3.5605740458015268E-2</v>
      </c>
      <c r="W240" s="224">
        <f t="shared" si="352"/>
        <v>0.13589977274051629</v>
      </c>
      <c r="X240" s="204">
        <f t="shared" si="353"/>
        <v>350</v>
      </c>
      <c r="Y240" s="455">
        <f t="shared" si="354"/>
        <v>350</v>
      </c>
      <c r="AA240" s="224">
        <f t="shared" si="355"/>
        <v>0.539238891061395</v>
      </c>
      <c r="AB240" s="180">
        <f t="shared" si="356"/>
        <v>2.2639800769753222</v>
      </c>
      <c r="AC240" s="180">
        <f t="shared" si="357"/>
        <v>0.42728913713264249</v>
      </c>
      <c r="AD240" s="180"/>
      <c r="AE240" s="180">
        <f t="shared" si="358"/>
        <v>1.217557251908397</v>
      </c>
      <c r="AF240" s="564">
        <f t="shared" si="359"/>
        <v>67.971030158901726</v>
      </c>
      <c r="AG240" s="547">
        <f t="shared" si="360"/>
        <v>0.1235820610687023</v>
      </c>
      <c r="AI240" s="180">
        <f t="shared" si="361"/>
        <v>0.12779854276347416</v>
      </c>
      <c r="AJ240" s="180">
        <f t="shared" si="362"/>
        <v>0.28999999999999998</v>
      </c>
      <c r="AK240" s="180">
        <f t="shared" si="363"/>
        <v>1.0388405886622296</v>
      </c>
      <c r="AM240" s="564">
        <f t="shared" si="364"/>
        <v>24</v>
      </c>
      <c r="AN240" s="473">
        <f t="shared" si="365"/>
        <v>67.971030158901726</v>
      </c>
      <c r="AP240">
        <f t="shared" si="366"/>
        <v>24</v>
      </c>
      <c r="AQ240">
        <f t="shared" si="367"/>
        <v>67.971030158901726</v>
      </c>
      <c r="AS240" s="5">
        <f t="shared" si="326"/>
        <v>14.712150127226465</v>
      </c>
      <c r="AT240" s="5">
        <f t="shared" si="368"/>
        <v>0.31900000000000001</v>
      </c>
      <c r="AU240" s="5">
        <f t="shared" si="372"/>
        <v>14.393150127226464</v>
      </c>
      <c r="AV240" s="5"/>
      <c r="AW240" s="180">
        <f t="shared" si="373"/>
        <v>2.1682758620689652E-2</v>
      </c>
      <c r="AX240" s="180"/>
      <c r="CB240" s="582">
        <f t="shared" si="369"/>
        <v>-50</v>
      </c>
      <c r="CC240">
        <f t="shared" si="370"/>
        <v>-50</v>
      </c>
    </row>
    <row r="241" spans="5:81" x14ac:dyDescent="0.25">
      <c r="E241" s="177">
        <v>25</v>
      </c>
      <c r="F241" s="224">
        <f t="shared" si="371"/>
        <v>2.5000000000000001E-2</v>
      </c>
      <c r="G241" s="224"/>
      <c r="H241" s="224">
        <f t="shared" si="340"/>
        <v>0.1575</v>
      </c>
      <c r="I241" s="560">
        <f t="shared" si="341"/>
        <v>50</v>
      </c>
      <c r="J241" s="455">
        <f t="shared" si="342"/>
        <v>13.1</v>
      </c>
      <c r="K241" s="455">
        <f t="shared" si="343"/>
        <v>63.1</v>
      </c>
      <c r="L241" s="455"/>
      <c r="M241" s="224">
        <f t="shared" si="344"/>
        <v>0.20760697305863707</v>
      </c>
      <c r="N241" s="179">
        <f t="shared" si="345"/>
        <v>6.7731774960380342</v>
      </c>
      <c r="O241" s="179">
        <f t="shared" si="325"/>
        <v>0.1575</v>
      </c>
      <c r="P241" s="224">
        <f t="shared" si="346"/>
        <v>1.0751075390536562</v>
      </c>
      <c r="Q241" s="224">
        <f t="shared" si="347"/>
        <v>6.3</v>
      </c>
      <c r="R241" s="224"/>
      <c r="S241" s="179">
        <f t="shared" si="348"/>
        <v>1280.0048818403964</v>
      </c>
      <c r="T241" s="179">
        <f t="shared" si="349"/>
        <v>6.3</v>
      </c>
      <c r="U241" s="224">
        <f t="shared" si="350"/>
        <v>3.3717557251908399E-2</v>
      </c>
      <c r="V241" s="224">
        <f t="shared" si="351"/>
        <v>3.7089312977099241E-2</v>
      </c>
      <c r="W241" s="224">
        <f t="shared" si="352"/>
        <v>0.14156226327137114</v>
      </c>
      <c r="X241" s="204">
        <f t="shared" si="353"/>
        <v>350</v>
      </c>
      <c r="Y241" s="455">
        <f t="shared" si="354"/>
        <v>350</v>
      </c>
      <c r="AA241" s="224">
        <f t="shared" si="355"/>
        <v>0.539238891061395</v>
      </c>
      <c r="AB241" s="180">
        <f t="shared" si="356"/>
        <v>2.2639800769753222</v>
      </c>
      <c r="AC241" s="180">
        <f t="shared" si="357"/>
        <v>0.42728913713264249</v>
      </c>
      <c r="AD241" s="180"/>
      <c r="AE241" s="180">
        <f t="shared" si="358"/>
        <v>1.217557251908397</v>
      </c>
      <c r="AF241" s="564">
        <f t="shared" si="359"/>
        <v>70.803156415522636</v>
      </c>
      <c r="AG241" s="547">
        <f t="shared" si="360"/>
        <v>0.1235820610687023</v>
      </c>
      <c r="AI241" s="180">
        <f t="shared" si="361"/>
        <v>0.13043384151740303</v>
      </c>
      <c r="AJ241" s="180">
        <f t="shared" si="362"/>
        <v>0.28999999999999998</v>
      </c>
      <c r="AK241" s="180">
        <f t="shared" si="363"/>
        <v>1.0404589465231557</v>
      </c>
      <c r="AM241" s="564">
        <f t="shared" si="364"/>
        <v>25</v>
      </c>
      <c r="AN241" s="473">
        <f t="shared" si="365"/>
        <v>70.803156415522636</v>
      </c>
      <c r="AP241">
        <f t="shared" si="366"/>
        <v>25</v>
      </c>
      <c r="AQ241">
        <f t="shared" si="367"/>
        <v>70.803156415522636</v>
      </c>
      <c r="AS241" s="5">
        <f t="shared" si="326"/>
        <v>14.123664122137408</v>
      </c>
      <c r="AT241" s="5">
        <f t="shared" si="368"/>
        <v>0.31900000000000001</v>
      </c>
      <c r="AU241" s="5">
        <f t="shared" si="372"/>
        <v>13.804664122137407</v>
      </c>
      <c r="AV241" s="5"/>
      <c r="AW241" s="180">
        <f t="shared" si="373"/>
        <v>2.2586206896551719E-2</v>
      </c>
      <c r="AX241" s="180"/>
      <c r="CB241" s="582">
        <f t="shared" si="369"/>
        <v>-50</v>
      </c>
      <c r="CC241">
        <f t="shared" si="370"/>
        <v>-50</v>
      </c>
    </row>
    <row r="242" spans="5:81" x14ac:dyDescent="0.25">
      <c r="E242" s="177">
        <v>26</v>
      </c>
      <c r="F242" s="224">
        <f t="shared" si="371"/>
        <v>2.6000000000000002E-2</v>
      </c>
      <c r="G242" s="224"/>
      <c r="H242" s="224">
        <f t="shared" si="340"/>
        <v>0.1638</v>
      </c>
      <c r="I242" s="560">
        <f t="shared" si="341"/>
        <v>50</v>
      </c>
      <c r="J242" s="455">
        <f t="shared" si="342"/>
        <v>13.1</v>
      </c>
      <c r="K242" s="455">
        <f t="shared" si="343"/>
        <v>63.1</v>
      </c>
      <c r="L242" s="455"/>
      <c r="M242" s="224">
        <f t="shared" si="344"/>
        <v>0.20760697305863707</v>
      </c>
      <c r="N242" s="179">
        <f t="shared" si="345"/>
        <v>6.7731774960380342</v>
      </c>
      <c r="O242" s="179">
        <f t="shared" si="325"/>
        <v>0.1638</v>
      </c>
      <c r="P242" s="224">
        <f t="shared" si="346"/>
        <v>1.0751075390536562</v>
      </c>
      <c r="Q242" s="224">
        <f t="shared" si="347"/>
        <v>6.3</v>
      </c>
      <c r="R242" s="224"/>
      <c r="S242" s="179">
        <f t="shared" si="348"/>
        <v>1229.8127733491931</v>
      </c>
      <c r="T242" s="179">
        <f t="shared" si="349"/>
        <v>6.3</v>
      </c>
      <c r="U242" s="224">
        <f t="shared" si="350"/>
        <v>3.5066259541984737E-2</v>
      </c>
      <c r="V242" s="224">
        <f t="shared" si="351"/>
        <v>3.8572885496183214E-2</v>
      </c>
      <c r="W242" s="224">
        <f t="shared" si="352"/>
        <v>0.14722475380222602</v>
      </c>
      <c r="X242" s="204">
        <f t="shared" si="353"/>
        <v>350</v>
      </c>
      <c r="Y242" s="455">
        <f t="shared" si="354"/>
        <v>350</v>
      </c>
      <c r="AA242" s="224">
        <f t="shared" si="355"/>
        <v>0.539238891061395</v>
      </c>
      <c r="AB242" s="180">
        <f t="shared" si="356"/>
        <v>2.2639800769753222</v>
      </c>
      <c r="AC242" s="180">
        <f t="shared" si="357"/>
        <v>0.42728913713264249</v>
      </c>
      <c r="AD242" s="180"/>
      <c r="AE242" s="180">
        <f t="shared" si="358"/>
        <v>1.217557251908397</v>
      </c>
      <c r="AF242" s="564">
        <f t="shared" si="359"/>
        <v>73.635282672143546</v>
      </c>
      <c r="AG242" s="547">
        <f t="shared" si="360"/>
        <v>0.1235820610687023</v>
      </c>
      <c r="AI242" s="180">
        <f t="shared" si="361"/>
        <v>0.13301694062602137</v>
      </c>
      <c r="AJ242" s="180">
        <f t="shared" si="362"/>
        <v>0.28999999999999998</v>
      </c>
      <c r="AK242" s="180">
        <f t="shared" si="363"/>
        <v>1.0420773043840821</v>
      </c>
      <c r="AM242" s="564">
        <f t="shared" si="364"/>
        <v>26.000000000000004</v>
      </c>
      <c r="AN242" s="473">
        <f t="shared" si="365"/>
        <v>73.635282672143546</v>
      </c>
      <c r="AP242">
        <f t="shared" si="366"/>
        <v>26.000000000000004</v>
      </c>
      <c r="AQ242">
        <f t="shared" si="367"/>
        <v>73.635282672143546</v>
      </c>
      <c r="AS242" s="5">
        <f t="shared" si="326"/>
        <v>13.580446271285966</v>
      </c>
      <c r="AT242" s="5">
        <f t="shared" si="368"/>
        <v>0.31900000000000001</v>
      </c>
      <c r="AU242" s="5">
        <f t="shared" si="372"/>
        <v>13.261446271285966</v>
      </c>
      <c r="AV242" s="5"/>
      <c r="AW242" s="180">
        <f t="shared" si="373"/>
        <v>2.3489655172413793E-2</v>
      </c>
      <c r="AX242" s="180"/>
      <c r="CB242" s="582">
        <f t="shared" si="369"/>
        <v>-50</v>
      </c>
      <c r="CC242">
        <f t="shared" si="370"/>
        <v>-50</v>
      </c>
    </row>
    <row r="243" spans="5:81" x14ac:dyDescent="0.25">
      <c r="E243" s="177">
        <v>27</v>
      </c>
      <c r="F243" s="224">
        <f t="shared" si="371"/>
        <v>2.7000000000000003E-2</v>
      </c>
      <c r="G243" s="224"/>
      <c r="H243" s="224">
        <f t="shared" si="340"/>
        <v>0.17010000000000003</v>
      </c>
      <c r="I243" s="560">
        <f t="shared" si="341"/>
        <v>50</v>
      </c>
      <c r="J243" s="455">
        <f t="shared" si="342"/>
        <v>13.1</v>
      </c>
      <c r="K243" s="455">
        <f t="shared" si="343"/>
        <v>63.1</v>
      </c>
      <c r="L243" s="455"/>
      <c r="M243" s="224">
        <f t="shared" si="344"/>
        <v>0.20760697305863707</v>
      </c>
      <c r="N243" s="179">
        <f t="shared" si="345"/>
        <v>6.7731774960380342</v>
      </c>
      <c r="O243" s="179">
        <f t="shared" si="325"/>
        <v>0.17010000000000003</v>
      </c>
      <c r="P243" s="224">
        <f t="shared" si="346"/>
        <v>1.0751075390536562</v>
      </c>
      <c r="Q243" s="224">
        <f t="shared" si="347"/>
        <v>6.3</v>
      </c>
      <c r="R243" s="224"/>
      <c r="S243" s="179">
        <f t="shared" si="348"/>
        <v>1183.3386138843005</v>
      </c>
      <c r="T243" s="179">
        <f t="shared" si="349"/>
        <v>6.3</v>
      </c>
      <c r="U243" s="224">
        <f t="shared" si="350"/>
        <v>3.6414961832061075E-2</v>
      </c>
      <c r="V243" s="224">
        <f t="shared" si="351"/>
        <v>4.0056458015267186E-2</v>
      </c>
      <c r="W243" s="224">
        <f t="shared" si="352"/>
        <v>0.15288724433308087</v>
      </c>
      <c r="X243" s="204">
        <f t="shared" si="353"/>
        <v>350</v>
      </c>
      <c r="Y243" s="455">
        <f t="shared" si="354"/>
        <v>350</v>
      </c>
      <c r="AA243" s="224">
        <f t="shared" si="355"/>
        <v>0.539238891061395</v>
      </c>
      <c r="AB243" s="180">
        <f t="shared" si="356"/>
        <v>2.2639800769753222</v>
      </c>
      <c r="AC243" s="180">
        <f t="shared" si="357"/>
        <v>0.42728913713264249</v>
      </c>
      <c r="AD243" s="180"/>
      <c r="AE243" s="180">
        <f t="shared" si="358"/>
        <v>1.217557251908397</v>
      </c>
      <c r="AF243" s="564">
        <f t="shared" si="359"/>
        <v>76.467408928764456</v>
      </c>
      <c r="AG243" s="547">
        <f t="shared" si="360"/>
        <v>0.1235820610687023</v>
      </c>
      <c r="AI243" s="180">
        <f t="shared" si="361"/>
        <v>0.13555082432071733</v>
      </c>
      <c r="AJ243" s="180">
        <f t="shared" si="362"/>
        <v>0.28999999999999998</v>
      </c>
      <c r="AK243" s="180">
        <f t="shared" si="363"/>
        <v>1.0436956622450082</v>
      </c>
      <c r="AM243" s="564">
        <f t="shared" si="364"/>
        <v>27.000000000000004</v>
      </c>
      <c r="AN243" s="473">
        <f t="shared" si="365"/>
        <v>76.467408928764456</v>
      </c>
      <c r="AP243">
        <f t="shared" si="366"/>
        <v>27.000000000000004</v>
      </c>
      <c r="AQ243">
        <f t="shared" si="367"/>
        <v>76.467408928764456</v>
      </c>
      <c r="AS243" s="5">
        <f t="shared" si="326"/>
        <v>13.077466779756856</v>
      </c>
      <c r="AT243" s="5">
        <f t="shared" si="368"/>
        <v>0.31900000000000001</v>
      </c>
      <c r="AU243" s="5">
        <f t="shared" si="372"/>
        <v>12.758466779756855</v>
      </c>
      <c r="AV243" s="5"/>
      <c r="AW243" s="180">
        <f t="shared" si="373"/>
        <v>2.4393103448275864E-2</v>
      </c>
      <c r="AX243" s="180"/>
      <c r="CB243" s="582">
        <f t="shared" si="369"/>
        <v>-50</v>
      </c>
      <c r="CC243">
        <f t="shared" si="370"/>
        <v>-50</v>
      </c>
    </row>
    <row r="244" spans="5:81" x14ac:dyDescent="0.25">
      <c r="E244" s="177">
        <v>28</v>
      </c>
      <c r="F244" s="224">
        <f t="shared" si="371"/>
        <v>2.8000000000000004E-2</v>
      </c>
      <c r="G244" s="224"/>
      <c r="H244" s="224">
        <f t="shared" si="340"/>
        <v>0.17640000000000003</v>
      </c>
      <c r="I244" s="560">
        <f t="shared" si="341"/>
        <v>50</v>
      </c>
      <c r="J244" s="455">
        <f t="shared" si="342"/>
        <v>13.1</v>
      </c>
      <c r="K244" s="455">
        <f t="shared" si="343"/>
        <v>63.1</v>
      </c>
      <c r="L244" s="455"/>
      <c r="M244" s="224">
        <f t="shared" si="344"/>
        <v>0.20760697305863707</v>
      </c>
      <c r="N244" s="179">
        <f t="shared" si="345"/>
        <v>6.7731774960380342</v>
      </c>
      <c r="O244" s="179">
        <f t="shared" si="325"/>
        <v>0.17640000000000003</v>
      </c>
      <c r="P244" s="224">
        <f t="shared" si="346"/>
        <v>1.0751075390536562</v>
      </c>
      <c r="Q244" s="224">
        <f t="shared" si="347"/>
        <v>6.3</v>
      </c>
      <c r="R244" s="224"/>
      <c r="S244" s="179">
        <f t="shared" si="348"/>
        <v>1140.1840517980766</v>
      </c>
      <c r="T244" s="179">
        <f t="shared" si="349"/>
        <v>6.3</v>
      </c>
      <c r="U244" s="224">
        <f t="shared" si="350"/>
        <v>3.7763664122137414E-2</v>
      </c>
      <c r="V244" s="224">
        <f t="shared" si="351"/>
        <v>4.1540030534351152E-2</v>
      </c>
      <c r="W244" s="224">
        <f t="shared" si="352"/>
        <v>0.1585497348639357</v>
      </c>
      <c r="X244" s="204">
        <f t="shared" si="353"/>
        <v>350</v>
      </c>
      <c r="Y244" s="455">
        <f t="shared" si="354"/>
        <v>350</v>
      </c>
      <c r="AA244" s="224">
        <f t="shared" si="355"/>
        <v>0.539238891061395</v>
      </c>
      <c r="AB244" s="180">
        <f t="shared" si="356"/>
        <v>2.2639800769753222</v>
      </c>
      <c r="AC244" s="180">
        <f t="shared" si="357"/>
        <v>0.42728913713264249</v>
      </c>
      <c r="AD244" s="180"/>
      <c r="AE244" s="180">
        <f t="shared" si="358"/>
        <v>1.217557251908397</v>
      </c>
      <c r="AF244" s="564">
        <f t="shared" si="359"/>
        <v>79.299535185385366</v>
      </c>
      <c r="AG244" s="547">
        <f t="shared" si="360"/>
        <v>0.1235820610687023</v>
      </c>
      <c r="AI244" s="180">
        <f t="shared" si="361"/>
        <v>0.13803820288074406</v>
      </c>
      <c r="AJ244" s="180">
        <f t="shared" si="362"/>
        <v>0.28999999999999998</v>
      </c>
      <c r="AK244" s="180">
        <f t="shared" si="363"/>
        <v>1.0453140201059345</v>
      </c>
      <c r="AM244" s="564">
        <f t="shared" si="364"/>
        <v>28.000000000000004</v>
      </c>
      <c r="AN244" s="473">
        <f t="shared" si="365"/>
        <v>79.299535185385366</v>
      </c>
      <c r="AP244">
        <f t="shared" si="366"/>
        <v>28.000000000000004</v>
      </c>
      <c r="AQ244">
        <f t="shared" si="367"/>
        <v>79.299535185385366</v>
      </c>
      <c r="AS244" s="5">
        <f t="shared" si="326"/>
        <v>12.61041439476554</v>
      </c>
      <c r="AT244" s="5">
        <f t="shared" si="368"/>
        <v>0.31900000000000001</v>
      </c>
      <c r="AU244" s="5">
        <f t="shared" si="372"/>
        <v>12.291414394765539</v>
      </c>
      <c r="AV244" s="5"/>
      <c r="AW244" s="180">
        <f t="shared" si="373"/>
        <v>2.5296551724137931E-2</v>
      </c>
      <c r="AX244" s="180"/>
      <c r="CB244" s="582">
        <f t="shared" si="369"/>
        <v>-50</v>
      </c>
      <c r="CC244">
        <f t="shared" si="370"/>
        <v>-50</v>
      </c>
    </row>
    <row r="245" spans="5:81" x14ac:dyDescent="0.25">
      <c r="E245" s="177">
        <v>29</v>
      </c>
      <c r="F245" s="224">
        <f t="shared" si="371"/>
        <v>2.8999999999999998E-2</v>
      </c>
      <c r="G245" s="224"/>
      <c r="H245" s="224">
        <f t="shared" si="340"/>
        <v>0.18269999999999997</v>
      </c>
      <c r="I245" s="560">
        <f t="shared" si="341"/>
        <v>50</v>
      </c>
      <c r="J245" s="455">
        <f t="shared" si="342"/>
        <v>13.1</v>
      </c>
      <c r="K245" s="455">
        <f t="shared" si="343"/>
        <v>63.1</v>
      </c>
      <c r="L245" s="455"/>
      <c r="M245" s="224">
        <f t="shared" si="344"/>
        <v>0.20760697305863707</v>
      </c>
      <c r="N245" s="179">
        <f t="shared" si="345"/>
        <v>6.7731774960380342</v>
      </c>
      <c r="O245" s="179">
        <f t="shared" si="325"/>
        <v>0.18269999999999997</v>
      </c>
      <c r="P245" s="224">
        <f t="shared" si="346"/>
        <v>1.0751075390536562</v>
      </c>
      <c r="Q245" s="224">
        <f t="shared" si="347"/>
        <v>6.3</v>
      </c>
      <c r="R245" s="224"/>
      <c r="S245" s="179">
        <f t="shared" si="348"/>
        <v>1100.0056804978251</v>
      </c>
      <c r="T245" s="179">
        <f t="shared" si="349"/>
        <v>6.3</v>
      </c>
      <c r="U245" s="224">
        <f t="shared" si="350"/>
        <v>3.9112366412213738E-2</v>
      </c>
      <c r="V245" s="224">
        <f t="shared" si="351"/>
        <v>4.3023603053435118E-2</v>
      </c>
      <c r="W245" s="224">
        <f t="shared" si="352"/>
        <v>0.16421222539479052</v>
      </c>
      <c r="X245" s="204">
        <f t="shared" si="353"/>
        <v>350</v>
      </c>
      <c r="Y245" s="455">
        <f t="shared" si="354"/>
        <v>350</v>
      </c>
      <c r="AA245" s="224">
        <f t="shared" si="355"/>
        <v>0.539238891061395</v>
      </c>
      <c r="AB245" s="180">
        <f t="shared" si="356"/>
        <v>2.2639800769753222</v>
      </c>
      <c r="AC245" s="180">
        <f t="shared" si="357"/>
        <v>0.42728913713264249</v>
      </c>
      <c r="AD245" s="180"/>
      <c r="AE245" s="180">
        <f t="shared" si="358"/>
        <v>1.217557251908397</v>
      </c>
      <c r="AF245" s="564">
        <f t="shared" si="359"/>
        <v>82.131661442006248</v>
      </c>
      <c r="AG245" s="547">
        <f t="shared" si="360"/>
        <v>0.1235820610687023</v>
      </c>
      <c r="AI245" s="180">
        <f t="shared" si="361"/>
        <v>0.14048154659977563</v>
      </c>
      <c r="AJ245" s="180">
        <f t="shared" si="362"/>
        <v>0.28999999999999998</v>
      </c>
      <c r="AK245" s="180">
        <f t="shared" si="363"/>
        <v>1.0469323779668607</v>
      </c>
      <c r="AM245" s="564">
        <f t="shared" si="364"/>
        <v>28.999999999999996</v>
      </c>
      <c r="AN245" s="473">
        <f t="shared" si="365"/>
        <v>82.131661442006248</v>
      </c>
      <c r="AP245">
        <f t="shared" si="366"/>
        <v>28.999999999999996</v>
      </c>
      <c r="AQ245">
        <f t="shared" si="367"/>
        <v>82.131661442006248</v>
      </c>
      <c r="AS245" s="5">
        <f t="shared" si="326"/>
        <v>12.175572519083973</v>
      </c>
      <c r="AT245" s="5">
        <f t="shared" si="368"/>
        <v>0.31900000000000001</v>
      </c>
      <c r="AU245" s="5">
        <f t="shared" si="372"/>
        <v>11.856572519083972</v>
      </c>
      <c r="AV245" s="5"/>
      <c r="AW245" s="180">
        <f t="shared" si="373"/>
        <v>2.6199999999999994E-2</v>
      </c>
      <c r="AX245" s="180"/>
      <c r="CB245" s="582">
        <f t="shared" si="369"/>
        <v>-50</v>
      </c>
      <c r="CC245">
        <f t="shared" si="370"/>
        <v>-50</v>
      </c>
    </row>
    <row r="246" spans="5:81" x14ac:dyDescent="0.25">
      <c r="E246" s="177">
        <v>30</v>
      </c>
      <c r="F246" s="224">
        <f t="shared" si="371"/>
        <v>0.03</v>
      </c>
      <c r="G246" s="224"/>
      <c r="H246" s="224">
        <f t="shared" si="340"/>
        <v>0.189</v>
      </c>
      <c r="I246" s="560">
        <f t="shared" si="341"/>
        <v>50</v>
      </c>
      <c r="J246" s="455">
        <f t="shared" si="342"/>
        <v>13.1</v>
      </c>
      <c r="K246" s="455">
        <f t="shared" si="343"/>
        <v>63.1</v>
      </c>
      <c r="L246" s="455"/>
      <c r="M246" s="224">
        <f t="shared" si="344"/>
        <v>0.20760697305863707</v>
      </c>
      <c r="N246" s="179">
        <f t="shared" si="345"/>
        <v>6.7731774960380342</v>
      </c>
      <c r="O246" s="179">
        <f t="shared" si="325"/>
        <v>0.189</v>
      </c>
      <c r="P246" s="224">
        <f t="shared" si="346"/>
        <v>1.0751075390536562</v>
      </c>
      <c r="Q246" s="224">
        <f t="shared" si="347"/>
        <v>6.3</v>
      </c>
      <c r="R246" s="224"/>
      <c r="S246" s="179">
        <f t="shared" si="348"/>
        <v>1062.5058809366406</v>
      </c>
      <c r="T246" s="179">
        <f t="shared" si="349"/>
        <v>6.3</v>
      </c>
      <c r="U246" s="224">
        <f t="shared" si="350"/>
        <v>4.0461068702290083E-2</v>
      </c>
      <c r="V246" s="224">
        <f t="shared" si="351"/>
        <v>4.4507175572519091E-2</v>
      </c>
      <c r="W246" s="224">
        <f t="shared" si="352"/>
        <v>0.1698747159256454</v>
      </c>
      <c r="X246" s="204">
        <f t="shared" si="353"/>
        <v>350</v>
      </c>
      <c r="Y246" s="455">
        <f t="shared" si="354"/>
        <v>350</v>
      </c>
      <c r="AA246" s="224">
        <f t="shared" si="355"/>
        <v>0.539238891061395</v>
      </c>
      <c r="AB246" s="180">
        <f t="shared" si="356"/>
        <v>2.2639800769753222</v>
      </c>
      <c r="AC246" s="180">
        <f t="shared" si="357"/>
        <v>0.42728913713264249</v>
      </c>
      <c r="AD246" s="180"/>
      <c r="AE246" s="180">
        <f t="shared" si="358"/>
        <v>1.217557251908397</v>
      </c>
      <c r="AF246" s="564">
        <f t="shared" si="359"/>
        <v>84.963787698627158</v>
      </c>
      <c r="AG246" s="547">
        <f t="shared" si="360"/>
        <v>0.1235820610687023</v>
      </c>
      <c r="AI246" s="180">
        <f t="shared" si="361"/>
        <v>0.14288311452227101</v>
      </c>
      <c r="AJ246" s="180">
        <f t="shared" si="362"/>
        <v>0.28999999999999998</v>
      </c>
      <c r="AK246" s="180">
        <f t="shared" si="363"/>
        <v>1.048550735827787</v>
      </c>
      <c r="AM246" s="564">
        <f t="shared" si="364"/>
        <v>30</v>
      </c>
      <c r="AN246" s="473">
        <f t="shared" si="365"/>
        <v>84.963787698627158</v>
      </c>
      <c r="AP246">
        <f t="shared" si="366"/>
        <v>30</v>
      </c>
      <c r="AQ246">
        <f t="shared" si="367"/>
        <v>84.963787698627158</v>
      </c>
      <c r="AS246" s="5">
        <f t="shared" si="326"/>
        <v>11.769720101781173</v>
      </c>
      <c r="AT246" s="5">
        <f t="shared" si="368"/>
        <v>0.31900000000000001</v>
      </c>
      <c r="AU246" s="5">
        <f t="shared" si="372"/>
        <v>11.450720101781172</v>
      </c>
      <c r="AV246" s="5"/>
      <c r="AW246" s="180">
        <f t="shared" si="373"/>
        <v>2.7103448275862065E-2</v>
      </c>
      <c r="AX246" s="180"/>
      <c r="CB246" s="582">
        <f t="shared" si="369"/>
        <v>-50</v>
      </c>
      <c r="CC246">
        <f t="shared" si="370"/>
        <v>-50</v>
      </c>
    </row>
    <row r="247" spans="5:81" x14ac:dyDescent="0.25">
      <c r="E247" s="177">
        <v>31</v>
      </c>
      <c r="F247" s="224">
        <f t="shared" si="371"/>
        <v>3.1E-2</v>
      </c>
      <c r="G247" s="224"/>
      <c r="H247" s="224">
        <f t="shared" si="340"/>
        <v>0.1953</v>
      </c>
      <c r="I247" s="560">
        <f t="shared" si="341"/>
        <v>50</v>
      </c>
      <c r="J247" s="455">
        <f t="shared" si="342"/>
        <v>13.1</v>
      </c>
      <c r="K247" s="455">
        <f t="shared" si="343"/>
        <v>63.1</v>
      </c>
      <c r="L247" s="455"/>
      <c r="M247" s="224">
        <f t="shared" si="344"/>
        <v>0.20760697305863707</v>
      </c>
      <c r="N247" s="179">
        <f t="shared" si="345"/>
        <v>6.7731774960380342</v>
      </c>
      <c r="O247" s="179">
        <f t="shared" si="325"/>
        <v>0.1953</v>
      </c>
      <c r="P247" s="224">
        <f t="shared" si="346"/>
        <v>1.0751075390536562</v>
      </c>
      <c r="Q247" s="224">
        <f t="shared" si="347"/>
        <v>6.3</v>
      </c>
      <c r="R247" s="224"/>
      <c r="S247" s="179">
        <f t="shared" si="348"/>
        <v>1027.4254365253762</v>
      </c>
      <c r="T247" s="179">
        <f t="shared" si="349"/>
        <v>6.3</v>
      </c>
      <c r="U247" s="224">
        <f t="shared" si="350"/>
        <v>4.1809770992366414E-2</v>
      </c>
      <c r="V247" s="224">
        <f t="shared" si="351"/>
        <v>4.5990748091603056E-2</v>
      </c>
      <c r="W247" s="224">
        <f t="shared" si="352"/>
        <v>0.1755372064565002</v>
      </c>
      <c r="X247" s="204">
        <f t="shared" si="353"/>
        <v>350</v>
      </c>
      <c r="Y247" s="455">
        <f t="shared" si="354"/>
        <v>350</v>
      </c>
      <c r="AA247" s="224">
        <f t="shared" si="355"/>
        <v>0.539238891061395</v>
      </c>
      <c r="AB247" s="180">
        <f t="shared" si="356"/>
        <v>2.2639800769753222</v>
      </c>
      <c r="AC247" s="180">
        <f t="shared" si="357"/>
        <v>0.42728913713264249</v>
      </c>
      <c r="AD247" s="180"/>
      <c r="AE247" s="180">
        <f t="shared" si="358"/>
        <v>1.217557251908397</v>
      </c>
      <c r="AF247" s="564">
        <f t="shared" si="359"/>
        <v>87.795913955248068</v>
      </c>
      <c r="AG247" s="547">
        <f t="shared" si="360"/>
        <v>0.1235820610687023</v>
      </c>
      <c r="AI247" s="180">
        <f t="shared" si="361"/>
        <v>0.1452449789015231</v>
      </c>
      <c r="AJ247" s="180">
        <f t="shared" si="362"/>
        <v>0.28999999999999998</v>
      </c>
      <c r="AK247" s="180">
        <f t="shared" si="363"/>
        <v>1.0501690936887131</v>
      </c>
      <c r="AM247" s="564">
        <f t="shared" si="364"/>
        <v>31</v>
      </c>
      <c r="AN247" s="473">
        <f t="shared" si="365"/>
        <v>87.795913955248068</v>
      </c>
      <c r="AP247">
        <f t="shared" si="366"/>
        <v>31</v>
      </c>
      <c r="AQ247">
        <f t="shared" si="367"/>
        <v>87.795913955248068</v>
      </c>
      <c r="AS247" s="5">
        <f t="shared" si="326"/>
        <v>11.390051711401135</v>
      </c>
      <c r="AT247" s="5">
        <f t="shared" si="368"/>
        <v>0.31900000000000001</v>
      </c>
      <c r="AU247" s="5">
        <f t="shared" si="372"/>
        <v>11.071051711401134</v>
      </c>
      <c r="AV247" s="5"/>
      <c r="AW247" s="180">
        <f t="shared" si="373"/>
        <v>2.8006896551724132E-2</v>
      </c>
      <c r="AX247" s="180"/>
      <c r="CB247" s="582">
        <f t="shared" si="369"/>
        <v>-50</v>
      </c>
      <c r="CC247">
        <f t="shared" si="370"/>
        <v>-50</v>
      </c>
    </row>
    <row r="248" spans="5:81" x14ac:dyDescent="0.25">
      <c r="E248" s="177">
        <v>32</v>
      </c>
      <c r="F248" s="224">
        <f t="shared" si="371"/>
        <v>3.2000000000000001E-2</v>
      </c>
      <c r="G248" s="224"/>
      <c r="H248" s="224">
        <f t="shared" ref="H248:H279" si="374">F248*Vout</f>
        <v>0.2016</v>
      </c>
      <c r="I248" s="560">
        <f t="shared" ref="I248:I279" si="375">VIN_max</f>
        <v>50</v>
      </c>
      <c r="J248" s="455">
        <f t="shared" ref="J248:J279" si="376">(T248+Vfwd1)*Nps</f>
        <v>13.1</v>
      </c>
      <c r="K248" s="455">
        <f t="shared" ref="K248:K279" si="377">(Vout+Vfwd1)*Nps+I248</f>
        <v>63.1</v>
      </c>
      <c r="L248" s="455"/>
      <c r="M248" s="224">
        <f t="shared" ref="M248:M279" si="378">(Vout+Vfwd1)*Nps/((Vout+Vfwd1)*Nps+I248)</f>
        <v>0.20760697305863707</v>
      </c>
      <c r="N248" s="179">
        <f t="shared" ref="N248:N279" si="379">M248*I248*Isw_max*0.5*Efficiency</f>
        <v>6.7731774960380342</v>
      </c>
      <c r="O248" s="179">
        <f t="shared" si="325"/>
        <v>0.2016</v>
      </c>
      <c r="P248" s="224">
        <f t="shared" ref="P248:P279" si="380">N248/Vout</f>
        <v>1.0751075390536562</v>
      </c>
      <c r="Q248" s="224">
        <f t="shared" ref="Q248:Q279" si="381">MIN(Vout,N248/F248)</f>
        <v>6.3</v>
      </c>
      <c r="R248" s="224"/>
      <c r="S248" s="179">
        <f t="shared" ref="S248:S279" si="382">(SQRT(Isw_max^2*Nps^2*I248^2+4*Isw_max*F248/Efficiency*(Nps^2*Vfwd1*I248-Nps*I248^2)+4*(F248/Efficiency)^2*Nps^2*Vfwd1^2+8*(F248/Efficiency)^2*Nps*Vfwd1*I248+4*(F248/Efficiency)^2*I248^2)-2*F248/Efficiency*I248-2*F248/Efficiency*Nps*Vfwd1+Isw_max*Nps*I248)/(4*F248/Efficiency*Nps)</f>
        <v>994.5375327486214</v>
      </c>
      <c r="T248" s="179">
        <f t="shared" ref="T248:T279" si="383">MIN(Vout, S248)</f>
        <v>6.3</v>
      </c>
      <c r="U248" s="224">
        <f t="shared" ref="U248:U279" si="384">MIN(2*Vout*F248/(Efficiency*I248*M248), Isw_max)</f>
        <v>4.3158473282442752E-2</v>
      </c>
      <c r="V248" s="224">
        <f t="shared" ref="V248:V279" si="385">L*U248/I248*1000000</f>
        <v>4.7474320610687029E-2</v>
      </c>
      <c r="W248" s="224">
        <f t="shared" ref="W248:W279" si="386">L*U248/J248*1000000</f>
        <v>0.18119969698735505</v>
      </c>
      <c r="X248" s="204">
        <f t="shared" ref="X248:X279" si="387">IF(1/((350000*L)*(1/I248+1/J248))&gt;Isw_min, 350, 0.001/((Isw_min*L)*(1/I248+1/J248)))</f>
        <v>350</v>
      </c>
      <c r="Y248" s="455">
        <f t="shared" si="354"/>
        <v>350</v>
      </c>
      <c r="AA248" s="224">
        <f t="shared" ref="AA248:AA279" si="388">1/((X248*1000*L)*(1/I248+1/J248))</f>
        <v>0.539238891061395</v>
      </c>
      <c r="AB248" s="180">
        <f t="shared" ref="AB248:AB279" si="389">L*AA248/J248*1000000</f>
        <v>2.2639800769753222</v>
      </c>
      <c r="AC248" s="180">
        <f t="shared" ref="AC248:AC279" si="390">0.5*AB248*AA248*Nps*X248/1000</f>
        <v>0.42728913713264249</v>
      </c>
      <c r="AD248" s="180"/>
      <c r="AE248" s="180">
        <f t="shared" ref="AE248:AE279" si="391">L*Isw_min/J248*1000000</f>
        <v>1.217557251908397</v>
      </c>
      <c r="AF248" s="564">
        <f t="shared" ref="AF248:AF279" si="392">MAX(10000,F248/(0.5*AE248/1000000*Isw_min*Nps))/1000</f>
        <v>90.628040211868978</v>
      </c>
      <c r="AG248" s="547">
        <f t="shared" ref="AG248:AG279" si="393">0.5*AE248/1000000*Isw_min*Nps*X248*1000</f>
        <v>0.1235820610687023</v>
      </c>
      <c r="AI248" s="180">
        <f t="shared" ref="AI248:AI279" si="394">SQRT(F248/(0.5*L/J248*Fsw_DCM*Nps))</f>
        <v>0.1475690461330674</v>
      </c>
      <c r="AJ248" s="180">
        <f t="shared" ref="AJ248:AJ279" si="395">MAX(IF(F248&gt;AC248,U248,AI248),Isw_min)</f>
        <v>0.28999999999999998</v>
      </c>
      <c r="AK248" s="180">
        <f t="shared" ref="AK248:AK279" si="396">IF(F248&gt;AG248, (AJ248-Isw_min)/1.08*0.8+1.2, AF248*0.2/350+1)</f>
        <v>1.0517874515496395</v>
      </c>
      <c r="AM248" s="564">
        <f t="shared" ref="AM248:AM279" si="397">F248*1000</f>
        <v>32</v>
      </c>
      <c r="AN248" s="473">
        <f t="shared" ref="AN248:AN279" si="398">IF(F248&gt;AG248, Y248, AF248)</f>
        <v>90.628040211868978</v>
      </c>
      <c r="AP248">
        <f t="shared" ref="AP248:AP279" si="399">IF(H248&gt;N248, "",AM248)</f>
        <v>32</v>
      </c>
      <c r="AQ248">
        <f t="shared" ref="AQ248:AQ279" si="400">IF(H248&gt;N248, "",AN248)</f>
        <v>90.628040211868978</v>
      </c>
      <c r="AS248" s="5">
        <f t="shared" si="326"/>
        <v>11.034112595419849</v>
      </c>
      <c r="AT248" s="5">
        <f t="shared" ref="AT248:AT279" si="401">L*AJ248/I248*1000000</f>
        <v>0.31900000000000001</v>
      </c>
      <c r="AU248" s="5">
        <f t="shared" si="372"/>
        <v>10.715112595419848</v>
      </c>
      <c r="AV248" s="5"/>
      <c r="AW248" s="180">
        <f t="shared" si="373"/>
        <v>2.8910344827586202E-2</v>
      </c>
      <c r="AX248" s="180"/>
      <c r="CB248" s="582">
        <f t="shared" ref="CB248:CB279" si="402">IF(ABS(F248-Ioutmax_Vinmax)&lt;Iout/200, AN248, -50)</f>
        <v>-50</v>
      </c>
      <c r="CC248">
        <f t="shared" ref="CC248:CC279" si="403">IF(ABS(F248-Ioutmax_Vinmin)&lt;Iout/200, N248*BX248, -50)</f>
        <v>-50</v>
      </c>
    </row>
    <row r="249" spans="5:81" x14ac:dyDescent="0.25">
      <c r="E249" s="177">
        <v>33</v>
      </c>
      <c r="F249" s="224">
        <f t="shared" ref="F249:F280" si="404">IF(PLOT_TYPE=1, E249/100*Iout_max, min_I*EXP(N249*rr/100))</f>
        <v>3.3000000000000002E-2</v>
      </c>
      <c r="G249" s="224"/>
      <c r="H249" s="224">
        <f t="shared" si="374"/>
        <v>0.2079</v>
      </c>
      <c r="I249" s="560">
        <f t="shared" si="375"/>
        <v>50</v>
      </c>
      <c r="J249" s="455">
        <f t="shared" si="376"/>
        <v>13.1</v>
      </c>
      <c r="K249" s="455">
        <f t="shared" si="377"/>
        <v>63.1</v>
      </c>
      <c r="L249" s="455"/>
      <c r="M249" s="224">
        <f t="shared" si="378"/>
        <v>0.20760697305863707</v>
      </c>
      <c r="N249" s="179">
        <f t="shared" si="379"/>
        <v>6.7731774960380342</v>
      </c>
      <c r="O249" s="179">
        <f t="shared" si="325"/>
        <v>0.2079</v>
      </c>
      <c r="P249" s="224">
        <f t="shared" si="380"/>
        <v>1.0751075390536562</v>
      </c>
      <c r="Q249" s="224">
        <f t="shared" si="381"/>
        <v>6.3</v>
      </c>
      <c r="R249" s="224"/>
      <c r="S249" s="179">
        <f t="shared" si="382"/>
        <v>963.64284775958799</v>
      </c>
      <c r="T249" s="179">
        <f t="shared" si="383"/>
        <v>6.3</v>
      </c>
      <c r="U249" s="224">
        <f t="shared" si="384"/>
        <v>4.4507175572519091E-2</v>
      </c>
      <c r="V249" s="224">
        <f t="shared" si="385"/>
        <v>4.8957893129770995E-2</v>
      </c>
      <c r="W249" s="224">
        <f t="shared" si="386"/>
        <v>0.18686218751820993</v>
      </c>
      <c r="X249" s="204">
        <f t="shared" si="387"/>
        <v>350</v>
      </c>
      <c r="Y249" s="455">
        <f t="shared" si="354"/>
        <v>350</v>
      </c>
      <c r="AA249" s="224">
        <f t="shared" si="388"/>
        <v>0.539238891061395</v>
      </c>
      <c r="AB249" s="180">
        <f t="shared" si="389"/>
        <v>2.2639800769753222</v>
      </c>
      <c r="AC249" s="180">
        <f t="shared" si="390"/>
        <v>0.42728913713264249</v>
      </c>
      <c r="AD249" s="180"/>
      <c r="AE249" s="180">
        <f t="shared" si="391"/>
        <v>1.217557251908397</v>
      </c>
      <c r="AF249" s="564">
        <f t="shared" si="392"/>
        <v>93.460166468489888</v>
      </c>
      <c r="AG249" s="547">
        <f t="shared" si="393"/>
        <v>0.1235820610687023</v>
      </c>
      <c r="AI249" s="180">
        <f t="shared" si="394"/>
        <v>0.14985707476506691</v>
      </c>
      <c r="AJ249" s="180">
        <f t="shared" si="395"/>
        <v>0.28999999999999998</v>
      </c>
      <c r="AK249" s="180">
        <f t="shared" si="396"/>
        <v>1.0534058094105656</v>
      </c>
      <c r="AM249" s="564">
        <f t="shared" si="397"/>
        <v>33</v>
      </c>
      <c r="AN249" s="473">
        <f t="shared" si="398"/>
        <v>93.460166468489888</v>
      </c>
      <c r="AP249">
        <f t="shared" si="399"/>
        <v>33</v>
      </c>
      <c r="AQ249">
        <f t="shared" si="400"/>
        <v>93.460166468489888</v>
      </c>
      <c r="AS249" s="5">
        <f t="shared" si="326"/>
        <v>10.699745547073793</v>
      </c>
      <c r="AT249" s="5">
        <f t="shared" si="401"/>
        <v>0.31900000000000001</v>
      </c>
      <c r="AU249" s="5">
        <f t="shared" si="372"/>
        <v>10.380745547073792</v>
      </c>
      <c r="AV249" s="5"/>
      <c r="AW249" s="180">
        <f t="shared" si="373"/>
        <v>2.9813793103448272E-2</v>
      </c>
      <c r="AX249" s="180"/>
      <c r="CB249" s="582">
        <f t="shared" si="402"/>
        <v>-50</v>
      </c>
      <c r="CC249">
        <f t="shared" si="403"/>
        <v>-50</v>
      </c>
    </row>
    <row r="250" spans="5:81" x14ac:dyDescent="0.25">
      <c r="E250" s="177">
        <v>34</v>
      </c>
      <c r="F250" s="224">
        <f t="shared" si="404"/>
        <v>3.4000000000000002E-2</v>
      </c>
      <c r="G250" s="224"/>
      <c r="H250" s="224">
        <f t="shared" si="374"/>
        <v>0.2142</v>
      </c>
      <c r="I250" s="560">
        <f t="shared" si="375"/>
        <v>50</v>
      </c>
      <c r="J250" s="455">
        <f t="shared" si="376"/>
        <v>13.1</v>
      </c>
      <c r="K250" s="455">
        <f t="shared" si="377"/>
        <v>63.1</v>
      </c>
      <c r="L250" s="455"/>
      <c r="M250" s="224">
        <f t="shared" si="378"/>
        <v>0.20760697305863707</v>
      </c>
      <c r="N250" s="179">
        <f t="shared" si="379"/>
        <v>6.7731774960380342</v>
      </c>
      <c r="O250" s="179">
        <f t="shared" si="325"/>
        <v>0.2142</v>
      </c>
      <c r="P250" s="224">
        <f t="shared" si="380"/>
        <v>1.0751075390536562</v>
      </c>
      <c r="Q250" s="224">
        <f t="shared" si="381"/>
        <v>6.3</v>
      </c>
      <c r="R250" s="224"/>
      <c r="S250" s="179">
        <f t="shared" si="382"/>
        <v>934.56550934060931</v>
      </c>
      <c r="T250" s="179">
        <f t="shared" si="383"/>
        <v>6.3</v>
      </c>
      <c r="U250" s="224">
        <f t="shared" si="384"/>
        <v>4.5855877862595422E-2</v>
      </c>
      <c r="V250" s="224">
        <f t="shared" si="385"/>
        <v>5.0441465648854968E-2</v>
      </c>
      <c r="W250" s="224">
        <f t="shared" si="386"/>
        <v>0.19252467804906476</v>
      </c>
      <c r="X250" s="204">
        <f t="shared" si="387"/>
        <v>350</v>
      </c>
      <c r="Y250" s="455">
        <f t="shared" si="354"/>
        <v>350</v>
      </c>
      <c r="AA250" s="224">
        <f t="shared" si="388"/>
        <v>0.539238891061395</v>
      </c>
      <c r="AB250" s="180">
        <f t="shared" si="389"/>
        <v>2.2639800769753222</v>
      </c>
      <c r="AC250" s="180">
        <f t="shared" si="390"/>
        <v>0.42728913713264249</v>
      </c>
      <c r="AD250" s="180"/>
      <c r="AE250" s="180">
        <f t="shared" si="391"/>
        <v>1.217557251908397</v>
      </c>
      <c r="AF250" s="564">
        <f t="shared" si="392"/>
        <v>96.292292725110784</v>
      </c>
      <c r="AG250" s="547">
        <f t="shared" si="393"/>
        <v>0.1235820610687023</v>
      </c>
      <c r="AI250" s="180">
        <f t="shared" si="394"/>
        <v>0.15211069106957056</v>
      </c>
      <c r="AJ250" s="180">
        <f t="shared" si="395"/>
        <v>0.28999999999999998</v>
      </c>
      <c r="AK250" s="180">
        <f t="shared" si="396"/>
        <v>1.055024167271492</v>
      </c>
      <c r="AM250" s="564">
        <f t="shared" si="397"/>
        <v>34</v>
      </c>
      <c r="AN250" s="473">
        <f t="shared" si="398"/>
        <v>96.292292725110784</v>
      </c>
      <c r="AP250">
        <f t="shared" si="399"/>
        <v>34</v>
      </c>
      <c r="AQ250">
        <f t="shared" si="400"/>
        <v>96.292292725110784</v>
      </c>
      <c r="AS250" s="5">
        <f t="shared" si="326"/>
        <v>10.385047148630447</v>
      </c>
      <c r="AT250" s="5">
        <f t="shared" si="401"/>
        <v>0.31900000000000001</v>
      </c>
      <c r="AU250" s="5">
        <f t="shared" si="372"/>
        <v>10.066047148630446</v>
      </c>
      <c r="AV250" s="5"/>
      <c r="AW250" s="180">
        <f t="shared" si="373"/>
        <v>3.0717241379310339E-2</v>
      </c>
      <c r="AX250" s="180"/>
      <c r="CB250" s="582">
        <f t="shared" si="402"/>
        <v>-50</v>
      </c>
      <c r="CC250">
        <f t="shared" si="403"/>
        <v>-50</v>
      </c>
    </row>
    <row r="251" spans="5:81" x14ac:dyDescent="0.25">
      <c r="E251" s="177">
        <v>35</v>
      </c>
      <c r="F251" s="224">
        <f t="shared" si="404"/>
        <v>3.4999999999999996E-2</v>
      </c>
      <c r="G251" s="224"/>
      <c r="H251" s="224">
        <f t="shared" si="374"/>
        <v>0.22049999999999997</v>
      </c>
      <c r="I251" s="560">
        <f t="shared" si="375"/>
        <v>50</v>
      </c>
      <c r="J251" s="455">
        <f t="shared" si="376"/>
        <v>13.1</v>
      </c>
      <c r="K251" s="455">
        <f t="shared" si="377"/>
        <v>63.1</v>
      </c>
      <c r="L251" s="455"/>
      <c r="M251" s="224">
        <f t="shared" si="378"/>
        <v>0.20760697305863707</v>
      </c>
      <c r="N251" s="179">
        <f t="shared" si="379"/>
        <v>6.7731774960380342</v>
      </c>
      <c r="O251" s="179">
        <f t="shared" si="325"/>
        <v>0.22049999999999997</v>
      </c>
      <c r="P251" s="224">
        <f t="shared" si="380"/>
        <v>1.0751075390536562</v>
      </c>
      <c r="Q251" s="224">
        <f t="shared" si="381"/>
        <v>6.3</v>
      </c>
      <c r="R251" s="224"/>
      <c r="S251" s="179">
        <f t="shared" si="382"/>
        <v>907.14974495612239</v>
      </c>
      <c r="T251" s="179">
        <f t="shared" si="383"/>
        <v>6.3</v>
      </c>
      <c r="U251" s="224">
        <f t="shared" si="384"/>
        <v>4.7204580152671753E-2</v>
      </c>
      <c r="V251" s="224">
        <f t="shared" si="385"/>
        <v>5.1925038167938926E-2</v>
      </c>
      <c r="W251" s="224">
        <f t="shared" si="386"/>
        <v>0.19818716857991958</v>
      </c>
      <c r="X251" s="204">
        <f t="shared" si="387"/>
        <v>350</v>
      </c>
      <c r="Y251" s="455">
        <f t="shared" si="354"/>
        <v>350</v>
      </c>
      <c r="AA251" s="224">
        <f t="shared" si="388"/>
        <v>0.539238891061395</v>
      </c>
      <c r="AB251" s="180">
        <f t="shared" si="389"/>
        <v>2.2639800769753222</v>
      </c>
      <c r="AC251" s="180">
        <f t="shared" si="390"/>
        <v>0.42728913713264249</v>
      </c>
      <c r="AD251" s="180"/>
      <c r="AE251" s="180">
        <f t="shared" si="391"/>
        <v>1.217557251908397</v>
      </c>
      <c r="AF251" s="564">
        <f t="shared" si="392"/>
        <v>99.124418981731679</v>
      </c>
      <c r="AG251" s="547">
        <f t="shared" si="393"/>
        <v>0.1235820610687023</v>
      </c>
      <c r="AI251" s="180">
        <f t="shared" si="394"/>
        <v>0.15433140256662548</v>
      </c>
      <c r="AJ251" s="180">
        <f t="shared" si="395"/>
        <v>0.28999999999999998</v>
      </c>
      <c r="AK251" s="180">
        <f t="shared" si="396"/>
        <v>1.0566425251324181</v>
      </c>
      <c r="AM251" s="564">
        <f t="shared" si="397"/>
        <v>34.999999999999993</v>
      </c>
      <c r="AN251" s="473">
        <f t="shared" si="398"/>
        <v>99.124418981731679</v>
      </c>
      <c r="AP251">
        <f t="shared" si="399"/>
        <v>34.999999999999993</v>
      </c>
      <c r="AQ251">
        <f t="shared" si="400"/>
        <v>99.124418981731679</v>
      </c>
      <c r="AS251" s="5">
        <f t="shared" si="326"/>
        <v>10.088331515812435</v>
      </c>
      <c r="AT251" s="5">
        <f t="shared" si="401"/>
        <v>0.31900000000000001</v>
      </c>
      <c r="AU251" s="5">
        <f t="shared" si="372"/>
        <v>9.7693315158124339</v>
      </c>
      <c r="AV251" s="5"/>
      <c r="AW251" s="180">
        <f t="shared" si="373"/>
        <v>3.1620689655172403E-2</v>
      </c>
      <c r="AX251" s="180"/>
      <c r="CB251" s="582">
        <f t="shared" si="402"/>
        <v>-50</v>
      </c>
      <c r="CC251">
        <f t="shared" si="403"/>
        <v>-50</v>
      </c>
    </row>
    <row r="252" spans="5:81" x14ac:dyDescent="0.25">
      <c r="E252" s="177">
        <v>36</v>
      </c>
      <c r="F252" s="224">
        <f t="shared" si="404"/>
        <v>3.5999999999999997E-2</v>
      </c>
      <c r="G252" s="224"/>
      <c r="H252" s="224">
        <f t="shared" si="374"/>
        <v>0.22679999999999997</v>
      </c>
      <c r="I252" s="560">
        <f t="shared" si="375"/>
        <v>50</v>
      </c>
      <c r="J252" s="455">
        <f t="shared" si="376"/>
        <v>13.1</v>
      </c>
      <c r="K252" s="455">
        <f t="shared" si="377"/>
        <v>63.1</v>
      </c>
      <c r="L252" s="455"/>
      <c r="M252" s="224">
        <f t="shared" si="378"/>
        <v>0.20760697305863707</v>
      </c>
      <c r="N252" s="179">
        <f t="shared" si="379"/>
        <v>6.7731774960380342</v>
      </c>
      <c r="O252" s="179">
        <f t="shared" si="325"/>
        <v>0.22679999999999997</v>
      </c>
      <c r="P252" s="224">
        <f t="shared" si="380"/>
        <v>1.0751075390536562</v>
      </c>
      <c r="Q252" s="224">
        <f t="shared" si="381"/>
        <v>6.3</v>
      </c>
      <c r="R252" s="224"/>
      <c r="S252" s="179">
        <f t="shared" si="382"/>
        <v>881.2570901301533</v>
      </c>
      <c r="T252" s="179">
        <f t="shared" si="383"/>
        <v>6.3</v>
      </c>
      <c r="U252" s="224">
        <f t="shared" si="384"/>
        <v>4.8553282442748091E-2</v>
      </c>
      <c r="V252" s="224">
        <f t="shared" si="385"/>
        <v>5.3408610687022899E-2</v>
      </c>
      <c r="W252" s="224">
        <f t="shared" si="386"/>
        <v>0.20384965911077443</v>
      </c>
      <c r="X252" s="204">
        <f t="shared" si="387"/>
        <v>350</v>
      </c>
      <c r="Y252" s="455">
        <f t="shared" si="354"/>
        <v>350</v>
      </c>
      <c r="AA252" s="224">
        <f t="shared" si="388"/>
        <v>0.539238891061395</v>
      </c>
      <c r="AB252" s="180">
        <f t="shared" si="389"/>
        <v>2.2639800769753222</v>
      </c>
      <c r="AC252" s="180">
        <f t="shared" si="390"/>
        <v>0.42728913713264249</v>
      </c>
      <c r="AD252" s="180"/>
      <c r="AE252" s="180">
        <f t="shared" si="391"/>
        <v>1.217557251908397</v>
      </c>
      <c r="AF252" s="564">
        <f t="shared" si="392"/>
        <v>101.95654523835259</v>
      </c>
      <c r="AG252" s="547">
        <f t="shared" si="393"/>
        <v>0.1235820610687023</v>
      </c>
      <c r="AI252" s="180">
        <f t="shared" si="394"/>
        <v>0.15652060982088364</v>
      </c>
      <c r="AJ252" s="180">
        <f t="shared" si="395"/>
        <v>0.28999999999999998</v>
      </c>
      <c r="AK252" s="180">
        <f t="shared" si="396"/>
        <v>1.0582608829933444</v>
      </c>
      <c r="AM252" s="564">
        <f t="shared" si="397"/>
        <v>36</v>
      </c>
      <c r="AN252" s="473">
        <f t="shared" si="398"/>
        <v>101.95654523835259</v>
      </c>
      <c r="AP252">
        <f t="shared" si="399"/>
        <v>36</v>
      </c>
      <c r="AQ252">
        <f t="shared" si="400"/>
        <v>101.95654523835259</v>
      </c>
      <c r="AS252" s="5">
        <f t="shared" si="326"/>
        <v>9.8081000848176441</v>
      </c>
      <c r="AT252" s="5">
        <f t="shared" si="401"/>
        <v>0.31900000000000001</v>
      </c>
      <c r="AU252" s="5">
        <f t="shared" si="372"/>
        <v>9.4891000848176432</v>
      </c>
      <c r="AV252" s="5"/>
      <c r="AW252" s="180">
        <f t="shared" si="373"/>
        <v>3.2524137931034473E-2</v>
      </c>
      <c r="AX252" s="180"/>
      <c r="CB252" s="582">
        <f t="shared" si="402"/>
        <v>-50</v>
      </c>
      <c r="CC252">
        <f t="shared" si="403"/>
        <v>-50</v>
      </c>
    </row>
    <row r="253" spans="5:81" x14ac:dyDescent="0.25">
      <c r="E253" s="177">
        <v>37</v>
      </c>
      <c r="F253" s="224">
        <f t="shared" si="404"/>
        <v>3.6999999999999998E-2</v>
      </c>
      <c r="G253" s="224"/>
      <c r="H253" s="224">
        <f t="shared" si="374"/>
        <v>0.23309999999999997</v>
      </c>
      <c r="I253" s="560">
        <f t="shared" si="375"/>
        <v>50</v>
      </c>
      <c r="J253" s="455">
        <f t="shared" si="376"/>
        <v>13.1</v>
      </c>
      <c r="K253" s="455">
        <f t="shared" si="377"/>
        <v>63.1</v>
      </c>
      <c r="L253" s="455"/>
      <c r="M253" s="224">
        <f t="shared" si="378"/>
        <v>0.20760697305863707</v>
      </c>
      <c r="N253" s="179">
        <f t="shared" si="379"/>
        <v>6.7731774960380342</v>
      </c>
      <c r="O253" s="179">
        <f t="shared" si="325"/>
        <v>0.23309999999999997</v>
      </c>
      <c r="P253" s="224">
        <f t="shared" si="380"/>
        <v>1.0751075390536562</v>
      </c>
      <c r="Q253" s="224">
        <f t="shared" si="381"/>
        <v>6.3</v>
      </c>
      <c r="R253" s="224"/>
      <c r="S253" s="179">
        <f t="shared" si="382"/>
        <v>856.76404951934751</v>
      </c>
      <c r="T253" s="179">
        <f t="shared" si="383"/>
        <v>6.3</v>
      </c>
      <c r="U253" s="224">
        <f t="shared" si="384"/>
        <v>4.990198473282443E-2</v>
      </c>
      <c r="V253" s="224">
        <f t="shared" si="385"/>
        <v>5.4892183206106872E-2</v>
      </c>
      <c r="W253" s="224">
        <f t="shared" si="386"/>
        <v>0.20951214964162929</v>
      </c>
      <c r="X253" s="204">
        <f t="shared" si="387"/>
        <v>350</v>
      </c>
      <c r="Y253" s="455">
        <f t="shared" si="354"/>
        <v>350</v>
      </c>
      <c r="AA253" s="224">
        <f t="shared" si="388"/>
        <v>0.539238891061395</v>
      </c>
      <c r="AB253" s="180">
        <f t="shared" si="389"/>
        <v>2.2639800769753222</v>
      </c>
      <c r="AC253" s="180">
        <f t="shared" si="390"/>
        <v>0.42728913713264249</v>
      </c>
      <c r="AD253" s="180"/>
      <c r="AE253" s="180">
        <f t="shared" si="391"/>
        <v>1.217557251908397</v>
      </c>
      <c r="AF253" s="564">
        <f t="shared" si="392"/>
        <v>104.7886714949735</v>
      </c>
      <c r="AG253" s="547">
        <f t="shared" si="393"/>
        <v>0.1235820610687023</v>
      </c>
      <c r="AI253" s="180">
        <f t="shared" si="394"/>
        <v>0.15867961677298309</v>
      </c>
      <c r="AJ253" s="180">
        <f t="shared" si="395"/>
        <v>0.28999999999999998</v>
      </c>
      <c r="AK253" s="180">
        <f t="shared" si="396"/>
        <v>1.0598792408542705</v>
      </c>
      <c r="AM253" s="564">
        <f t="shared" si="397"/>
        <v>37</v>
      </c>
      <c r="AN253" s="473">
        <f t="shared" si="398"/>
        <v>104.7886714949735</v>
      </c>
      <c r="AP253">
        <f t="shared" si="399"/>
        <v>37</v>
      </c>
      <c r="AQ253">
        <f t="shared" si="400"/>
        <v>104.7886714949735</v>
      </c>
      <c r="AS253" s="5">
        <f t="shared" si="326"/>
        <v>9.5430162987414917</v>
      </c>
      <c r="AT253" s="5">
        <f t="shared" si="401"/>
        <v>0.31900000000000001</v>
      </c>
      <c r="AU253" s="5">
        <f t="shared" si="372"/>
        <v>9.2240162987414909</v>
      </c>
      <c r="AV253" s="5"/>
      <c r="AW253" s="180">
        <f t="shared" si="373"/>
        <v>3.3427586206896544E-2</v>
      </c>
      <c r="AX253" s="180"/>
      <c r="CB253" s="582">
        <f t="shared" si="402"/>
        <v>-50</v>
      </c>
      <c r="CC253">
        <f t="shared" si="403"/>
        <v>-50</v>
      </c>
    </row>
    <row r="254" spans="5:81" x14ac:dyDescent="0.25">
      <c r="E254" s="177">
        <v>38</v>
      </c>
      <c r="F254" s="224">
        <f t="shared" si="404"/>
        <v>3.8000000000000006E-2</v>
      </c>
      <c r="G254" s="224"/>
      <c r="H254" s="224">
        <f t="shared" si="374"/>
        <v>0.23940000000000003</v>
      </c>
      <c r="I254" s="560">
        <f t="shared" si="375"/>
        <v>50</v>
      </c>
      <c r="J254" s="455">
        <f t="shared" si="376"/>
        <v>13.1</v>
      </c>
      <c r="K254" s="455">
        <f t="shared" si="377"/>
        <v>63.1</v>
      </c>
      <c r="L254" s="455"/>
      <c r="M254" s="224">
        <f t="shared" si="378"/>
        <v>0.20760697305863707</v>
      </c>
      <c r="N254" s="179">
        <f t="shared" si="379"/>
        <v>6.7731774960380342</v>
      </c>
      <c r="O254" s="179">
        <f t="shared" si="325"/>
        <v>0.23940000000000003</v>
      </c>
      <c r="P254" s="224">
        <f t="shared" si="380"/>
        <v>1.0751075390536562</v>
      </c>
      <c r="Q254" s="224">
        <f t="shared" si="381"/>
        <v>6.3</v>
      </c>
      <c r="R254" s="224"/>
      <c r="S254" s="179">
        <f t="shared" si="382"/>
        <v>833.56012729025542</v>
      </c>
      <c r="T254" s="179">
        <f t="shared" si="383"/>
        <v>6.3</v>
      </c>
      <c r="U254" s="224">
        <f t="shared" si="384"/>
        <v>5.1250687022900775E-2</v>
      </c>
      <c r="V254" s="224">
        <f t="shared" si="385"/>
        <v>5.6375755725190858E-2</v>
      </c>
      <c r="W254" s="224">
        <f t="shared" si="386"/>
        <v>0.21517464017248419</v>
      </c>
      <c r="X254" s="204">
        <f t="shared" si="387"/>
        <v>350</v>
      </c>
      <c r="Y254" s="455">
        <f t="shared" si="354"/>
        <v>350</v>
      </c>
      <c r="AA254" s="224">
        <f t="shared" si="388"/>
        <v>0.539238891061395</v>
      </c>
      <c r="AB254" s="180">
        <f t="shared" si="389"/>
        <v>2.2639800769753222</v>
      </c>
      <c r="AC254" s="180">
        <f t="shared" si="390"/>
        <v>0.42728913713264249</v>
      </c>
      <c r="AD254" s="180"/>
      <c r="AE254" s="180">
        <f t="shared" si="391"/>
        <v>1.217557251908397</v>
      </c>
      <c r="AF254" s="564">
        <f t="shared" si="392"/>
        <v>107.62079775159442</v>
      </c>
      <c r="AG254" s="547">
        <f t="shared" si="393"/>
        <v>0.1235820610687023</v>
      </c>
      <c r="AI254" s="180">
        <f t="shared" si="394"/>
        <v>0.1608096398221831</v>
      </c>
      <c r="AJ254" s="180">
        <f t="shared" si="395"/>
        <v>0.28999999999999998</v>
      </c>
      <c r="AK254" s="180">
        <f t="shared" si="396"/>
        <v>1.0614975987151969</v>
      </c>
      <c r="AM254" s="564">
        <f t="shared" si="397"/>
        <v>38.000000000000007</v>
      </c>
      <c r="AN254" s="473">
        <f t="shared" si="398"/>
        <v>107.62079775159442</v>
      </c>
      <c r="AP254">
        <f t="shared" si="399"/>
        <v>38.000000000000007</v>
      </c>
      <c r="AQ254">
        <f t="shared" si="400"/>
        <v>107.62079775159442</v>
      </c>
      <c r="AS254" s="5">
        <f t="shared" si="326"/>
        <v>9.2918842908798709</v>
      </c>
      <c r="AT254" s="5">
        <f t="shared" si="401"/>
        <v>0.31900000000000001</v>
      </c>
      <c r="AU254" s="5">
        <f t="shared" si="372"/>
        <v>8.9728842908798701</v>
      </c>
      <c r="AV254" s="5"/>
      <c r="AW254" s="180">
        <f t="shared" si="373"/>
        <v>3.4331034482758621E-2</v>
      </c>
      <c r="AX254" s="180"/>
      <c r="CB254" s="582">
        <f t="shared" si="402"/>
        <v>-50</v>
      </c>
      <c r="CC254">
        <f t="shared" si="403"/>
        <v>-50</v>
      </c>
    </row>
    <row r="255" spans="5:81" x14ac:dyDescent="0.25">
      <c r="E255" s="177">
        <v>39</v>
      </c>
      <c r="F255" s="224">
        <f t="shared" si="404"/>
        <v>3.9000000000000007E-2</v>
      </c>
      <c r="G255" s="224"/>
      <c r="H255" s="224">
        <f t="shared" si="374"/>
        <v>0.24570000000000003</v>
      </c>
      <c r="I255" s="560">
        <f t="shared" si="375"/>
        <v>50</v>
      </c>
      <c r="J255" s="455">
        <f t="shared" si="376"/>
        <v>13.1</v>
      </c>
      <c r="K255" s="455">
        <f t="shared" si="377"/>
        <v>63.1</v>
      </c>
      <c r="L255" s="455"/>
      <c r="M255" s="224">
        <f t="shared" si="378"/>
        <v>0.20760697305863707</v>
      </c>
      <c r="N255" s="179">
        <f t="shared" si="379"/>
        <v>6.7731774960380342</v>
      </c>
      <c r="O255" s="179">
        <f t="shared" si="325"/>
        <v>0.24570000000000003</v>
      </c>
      <c r="P255" s="224">
        <f t="shared" si="380"/>
        <v>1.0751075390536562</v>
      </c>
      <c r="Q255" s="224">
        <f t="shared" si="381"/>
        <v>6.3</v>
      </c>
      <c r="R255" s="224"/>
      <c r="S255" s="179">
        <f t="shared" si="382"/>
        <v>811.54616051550022</v>
      </c>
      <c r="T255" s="179">
        <f t="shared" si="383"/>
        <v>6.3</v>
      </c>
      <c r="U255" s="224">
        <f t="shared" si="384"/>
        <v>5.2599389312977113E-2</v>
      </c>
      <c r="V255" s="224">
        <f t="shared" si="385"/>
        <v>5.7859328244274824E-2</v>
      </c>
      <c r="W255" s="224">
        <f t="shared" si="386"/>
        <v>0.22083713070333905</v>
      </c>
      <c r="X255" s="204">
        <f t="shared" si="387"/>
        <v>350</v>
      </c>
      <c r="Y255" s="455">
        <f t="shared" si="354"/>
        <v>350</v>
      </c>
      <c r="AA255" s="224">
        <f t="shared" si="388"/>
        <v>0.539238891061395</v>
      </c>
      <c r="AB255" s="180">
        <f t="shared" si="389"/>
        <v>2.2639800769753222</v>
      </c>
      <c r="AC255" s="180">
        <f t="shared" si="390"/>
        <v>0.42728913713264249</v>
      </c>
      <c r="AD255" s="180"/>
      <c r="AE255" s="180">
        <f t="shared" si="391"/>
        <v>1.217557251908397</v>
      </c>
      <c r="AF255" s="564">
        <f t="shared" si="392"/>
        <v>110.45292400821532</v>
      </c>
      <c r="AG255" s="547">
        <f t="shared" si="393"/>
        <v>0.1235820610687023</v>
      </c>
      <c r="AI255" s="180">
        <f t="shared" si="394"/>
        <v>0.16291181583991918</v>
      </c>
      <c r="AJ255" s="180">
        <f t="shared" si="395"/>
        <v>0.28999999999999998</v>
      </c>
      <c r="AK255" s="180">
        <f t="shared" si="396"/>
        <v>1.063115956576123</v>
      </c>
      <c r="AM255" s="564">
        <f t="shared" si="397"/>
        <v>39.000000000000007</v>
      </c>
      <c r="AN255" s="473">
        <f t="shared" si="398"/>
        <v>110.45292400821532</v>
      </c>
      <c r="AP255">
        <f t="shared" si="399"/>
        <v>39.000000000000007</v>
      </c>
      <c r="AQ255">
        <f t="shared" si="400"/>
        <v>110.45292400821532</v>
      </c>
      <c r="AS255" s="5">
        <f t="shared" si="326"/>
        <v>9.0536308475239782</v>
      </c>
      <c r="AT255" s="5">
        <f t="shared" si="401"/>
        <v>0.31900000000000001</v>
      </c>
      <c r="AU255" s="5">
        <f t="shared" si="372"/>
        <v>8.7346308475239773</v>
      </c>
      <c r="AV255" s="5"/>
      <c r="AW255" s="180">
        <f t="shared" si="373"/>
        <v>3.5234482758620685E-2</v>
      </c>
      <c r="AX255" s="180"/>
      <c r="CB255" s="582">
        <f t="shared" si="402"/>
        <v>-50</v>
      </c>
      <c r="CC255">
        <f t="shared" si="403"/>
        <v>-50</v>
      </c>
    </row>
    <row r="256" spans="5:81" x14ac:dyDescent="0.25">
      <c r="E256" s="177">
        <v>40</v>
      </c>
      <c r="F256" s="224">
        <f t="shared" si="404"/>
        <v>4.0000000000000008E-2</v>
      </c>
      <c r="G256" s="224"/>
      <c r="H256" s="224">
        <f t="shared" si="374"/>
        <v>0.25200000000000006</v>
      </c>
      <c r="I256" s="560">
        <f t="shared" si="375"/>
        <v>50</v>
      </c>
      <c r="J256" s="455">
        <f t="shared" si="376"/>
        <v>13.1</v>
      </c>
      <c r="K256" s="455">
        <f t="shared" si="377"/>
        <v>63.1</v>
      </c>
      <c r="L256" s="455"/>
      <c r="M256" s="224">
        <f t="shared" si="378"/>
        <v>0.20760697305863707</v>
      </c>
      <c r="N256" s="179">
        <f t="shared" si="379"/>
        <v>6.7731774960380342</v>
      </c>
      <c r="O256" s="179">
        <f t="shared" si="325"/>
        <v>0.25200000000000006</v>
      </c>
      <c r="P256" s="224">
        <f t="shared" si="380"/>
        <v>1.0751075390536562</v>
      </c>
      <c r="Q256" s="224">
        <f t="shared" si="381"/>
        <v>6.3</v>
      </c>
      <c r="R256" s="224"/>
      <c r="S256" s="179">
        <f t="shared" si="382"/>
        <v>790.63290256051778</v>
      </c>
      <c r="T256" s="179">
        <f t="shared" si="383"/>
        <v>6.3</v>
      </c>
      <c r="U256" s="224">
        <f t="shared" si="384"/>
        <v>5.3948091603053451E-2</v>
      </c>
      <c r="V256" s="224">
        <f t="shared" si="385"/>
        <v>5.9342900763358804E-2</v>
      </c>
      <c r="W256" s="224">
        <f t="shared" si="386"/>
        <v>0.2264996212341939</v>
      </c>
      <c r="X256" s="204">
        <f t="shared" si="387"/>
        <v>350</v>
      </c>
      <c r="Y256" s="455">
        <f t="shared" si="354"/>
        <v>350</v>
      </c>
      <c r="AA256" s="224">
        <f t="shared" si="388"/>
        <v>0.539238891061395</v>
      </c>
      <c r="AB256" s="180">
        <f t="shared" si="389"/>
        <v>2.2639800769753222</v>
      </c>
      <c r="AC256" s="180">
        <f t="shared" si="390"/>
        <v>0.42728913713264249</v>
      </c>
      <c r="AD256" s="180"/>
      <c r="AE256" s="180">
        <f t="shared" si="391"/>
        <v>1.217557251908397</v>
      </c>
      <c r="AF256" s="564">
        <f t="shared" si="392"/>
        <v>113.28505026483624</v>
      </c>
      <c r="AG256" s="547">
        <f t="shared" si="393"/>
        <v>0.1235820610687023</v>
      </c>
      <c r="AI256" s="180">
        <f t="shared" si="394"/>
        <v>0.1649872092641706</v>
      </c>
      <c r="AJ256" s="180">
        <f t="shared" si="395"/>
        <v>0.28999999999999998</v>
      </c>
      <c r="AK256" s="180">
        <f t="shared" si="396"/>
        <v>1.0647343144370494</v>
      </c>
      <c r="AM256" s="564">
        <f t="shared" si="397"/>
        <v>40.000000000000007</v>
      </c>
      <c r="AN256" s="473">
        <f t="shared" si="398"/>
        <v>113.28505026483624</v>
      </c>
      <c r="AP256">
        <f t="shared" si="399"/>
        <v>40.000000000000007</v>
      </c>
      <c r="AQ256">
        <f t="shared" si="400"/>
        <v>113.28505026483624</v>
      </c>
      <c r="AS256" s="5">
        <f t="shared" si="326"/>
        <v>8.8272900763358759</v>
      </c>
      <c r="AT256" s="5">
        <f t="shared" si="401"/>
        <v>0.31900000000000001</v>
      </c>
      <c r="AU256" s="5">
        <f t="shared" si="372"/>
        <v>8.5082900763358751</v>
      </c>
      <c r="AV256" s="5"/>
      <c r="AW256" s="180">
        <f t="shared" si="373"/>
        <v>3.6137931034482769E-2</v>
      </c>
      <c r="AX256" s="180"/>
      <c r="CB256" s="582">
        <f t="shared" si="402"/>
        <v>-50</v>
      </c>
      <c r="CC256">
        <f t="shared" si="403"/>
        <v>-50</v>
      </c>
    </row>
    <row r="257" spans="5:81" x14ac:dyDescent="0.25">
      <c r="E257" s="177">
        <v>41</v>
      </c>
      <c r="F257" s="224">
        <f t="shared" si="404"/>
        <v>4.1000000000000002E-2</v>
      </c>
      <c r="G257" s="224"/>
      <c r="H257" s="224">
        <f t="shared" si="374"/>
        <v>0.25830000000000003</v>
      </c>
      <c r="I257" s="560">
        <f t="shared" si="375"/>
        <v>50</v>
      </c>
      <c r="J257" s="455">
        <f t="shared" si="376"/>
        <v>13.1</v>
      </c>
      <c r="K257" s="455">
        <f t="shared" si="377"/>
        <v>63.1</v>
      </c>
      <c r="L257" s="455"/>
      <c r="M257" s="224">
        <f t="shared" si="378"/>
        <v>0.20760697305863707</v>
      </c>
      <c r="N257" s="179">
        <f t="shared" si="379"/>
        <v>6.7731774960380342</v>
      </c>
      <c r="O257" s="179">
        <f t="shared" si="325"/>
        <v>0.25830000000000003</v>
      </c>
      <c r="P257" s="224">
        <f t="shared" si="380"/>
        <v>1.0751075390536562</v>
      </c>
      <c r="Q257" s="224">
        <f t="shared" si="381"/>
        <v>6.3</v>
      </c>
      <c r="R257" s="224"/>
      <c r="S257" s="179">
        <f t="shared" si="382"/>
        <v>770.7398137795559</v>
      </c>
      <c r="T257" s="179">
        <f t="shared" si="383"/>
        <v>6.3</v>
      </c>
      <c r="U257" s="224">
        <f t="shared" si="384"/>
        <v>5.5296793893129782E-2</v>
      </c>
      <c r="V257" s="224">
        <f t="shared" si="385"/>
        <v>6.0826473282442763E-2</v>
      </c>
      <c r="W257" s="224">
        <f t="shared" si="386"/>
        <v>0.23216211176504872</v>
      </c>
      <c r="X257" s="204">
        <f t="shared" si="387"/>
        <v>350</v>
      </c>
      <c r="Y257" s="455">
        <f t="shared" si="354"/>
        <v>350</v>
      </c>
      <c r="AA257" s="224">
        <f t="shared" si="388"/>
        <v>0.539238891061395</v>
      </c>
      <c r="AB257" s="180">
        <f t="shared" si="389"/>
        <v>2.2639800769753222</v>
      </c>
      <c r="AC257" s="180">
        <f t="shared" si="390"/>
        <v>0.42728913713264249</v>
      </c>
      <c r="AD257" s="180"/>
      <c r="AE257" s="180">
        <f t="shared" si="391"/>
        <v>1.217557251908397</v>
      </c>
      <c r="AF257" s="564">
        <f t="shared" si="392"/>
        <v>116.11717652145714</v>
      </c>
      <c r="AG257" s="547">
        <f t="shared" si="393"/>
        <v>0.1235820610687023</v>
      </c>
      <c r="AI257" s="180">
        <f t="shared" si="394"/>
        <v>0.16703681840031168</v>
      </c>
      <c r="AJ257" s="180">
        <f t="shared" si="395"/>
        <v>0.28999999999999998</v>
      </c>
      <c r="AK257" s="180">
        <f t="shared" si="396"/>
        <v>1.0663526722979755</v>
      </c>
      <c r="AM257" s="564">
        <f t="shared" si="397"/>
        <v>41</v>
      </c>
      <c r="AN257" s="473">
        <f t="shared" si="398"/>
        <v>116.11717652145714</v>
      </c>
      <c r="AP257">
        <f t="shared" si="399"/>
        <v>41</v>
      </c>
      <c r="AQ257">
        <f t="shared" si="400"/>
        <v>116.11717652145714</v>
      </c>
      <c r="AS257" s="5">
        <f t="shared" si="326"/>
        <v>8.6119903183764652</v>
      </c>
      <c r="AT257" s="5">
        <f t="shared" si="401"/>
        <v>0.31900000000000001</v>
      </c>
      <c r="AU257" s="5">
        <f t="shared" si="372"/>
        <v>8.2929903183764644</v>
      </c>
      <c r="AV257" s="5"/>
      <c r="AW257" s="180">
        <f t="shared" si="373"/>
        <v>3.7041379310344832E-2</v>
      </c>
      <c r="AX257" s="180"/>
      <c r="CB257" s="582">
        <f t="shared" si="402"/>
        <v>-50</v>
      </c>
      <c r="CC257">
        <f t="shared" si="403"/>
        <v>-50</v>
      </c>
    </row>
    <row r="258" spans="5:81" x14ac:dyDescent="0.25">
      <c r="E258" s="177">
        <v>42</v>
      </c>
      <c r="F258" s="224">
        <f t="shared" si="404"/>
        <v>4.2000000000000003E-2</v>
      </c>
      <c r="G258" s="224"/>
      <c r="H258" s="224">
        <f t="shared" si="374"/>
        <v>0.2646</v>
      </c>
      <c r="I258" s="560">
        <f t="shared" si="375"/>
        <v>50</v>
      </c>
      <c r="J258" s="455">
        <f t="shared" si="376"/>
        <v>13.1</v>
      </c>
      <c r="K258" s="455">
        <f t="shared" si="377"/>
        <v>63.1</v>
      </c>
      <c r="L258" s="455"/>
      <c r="M258" s="224">
        <f t="shared" si="378"/>
        <v>0.20760697305863707</v>
      </c>
      <c r="N258" s="179">
        <f t="shared" si="379"/>
        <v>6.7731774960380342</v>
      </c>
      <c r="O258" s="179">
        <f t="shared" si="325"/>
        <v>0.2646</v>
      </c>
      <c r="P258" s="224">
        <f t="shared" si="380"/>
        <v>1.0751075390536562</v>
      </c>
      <c r="Q258" s="224">
        <f t="shared" si="381"/>
        <v>6.3</v>
      </c>
      <c r="R258" s="224"/>
      <c r="S258" s="179">
        <f t="shared" si="382"/>
        <v>751.79402496938769</v>
      </c>
      <c r="T258" s="179">
        <f t="shared" si="383"/>
        <v>6.3</v>
      </c>
      <c r="U258" s="224">
        <f t="shared" si="384"/>
        <v>5.6645496183206114E-2</v>
      </c>
      <c r="V258" s="224">
        <f t="shared" si="385"/>
        <v>6.2310045801526721E-2</v>
      </c>
      <c r="W258" s="224">
        <f t="shared" si="386"/>
        <v>0.23782460229590355</v>
      </c>
      <c r="X258" s="204">
        <f t="shared" si="387"/>
        <v>350</v>
      </c>
      <c r="Y258" s="455">
        <f t="shared" si="354"/>
        <v>350</v>
      </c>
      <c r="AA258" s="224">
        <f t="shared" si="388"/>
        <v>0.539238891061395</v>
      </c>
      <c r="AB258" s="180">
        <f t="shared" si="389"/>
        <v>2.2639800769753222</v>
      </c>
      <c r="AC258" s="180">
        <f t="shared" si="390"/>
        <v>0.42728913713264249</v>
      </c>
      <c r="AD258" s="180"/>
      <c r="AE258" s="180">
        <f t="shared" si="391"/>
        <v>1.217557251908397</v>
      </c>
      <c r="AF258" s="564">
        <f t="shared" si="392"/>
        <v>118.94930277807804</v>
      </c>
      <c r="AG258" s="547">
        <f t="shared" si="393"/>
        <v>0.1235820610687023</v>
      </c>
      <c r="AI258" s="180">
        <f t="shared" si="394"/>
        <v>0.16906158103430294</v>
      </c>
      <c r="AJ258" s="180">
        <f t="shared" si="395"/>
        <v>0.28999999999999998</v>
      </c>
      <c r="AK258" s="180">
        <f t="shared" si="396"/>
        <v>1.0679710301589018</v>
      </c>
      <c r="AM258" s="564">
        <f t="shared" si="397"/>
        <v>42</v>
      </c>
      <c r="AN258" s="473">
        <f t="shared" si="398"/>
        <v>118.94930277807804</v>
      </c>
      <c r="AP258">
        <f t="shared" si="399"/>
        <v>42</v>
      </c>
      <c r="AQ258">
        <f t="shared" si="400"/>
        <v>118.94930277807804</v>
      </c>
      <c r="AS258" s="5">
        <f t="shared" si="326"/>
        <v>8.4069429298436944</v>
      </c>
      <c r="AT258" s="5">
        <f t="shared" si="401"/>
        <v>0.31900000000000001</v>
      </c>
      <c r="AU258" s="5">
        <f t="shared" si="372"/>
        <v>8.0879429298436936</v>
      </c>
      <c r="AV258" s="5"/>
      <c r="AW258" s="180">
        <f t="shared" si="373"/>
        <v>3.7944827586206889E-2</v>
      </c>
      <c r="AX258" s="180"/>
      <c r="CB258" s="582">
        <f t="shared" si="402"/>
        <v>-50</v>
      </c>
      <c r="CC258">
        <f t="shared" si="403"/>
        <v>-50</v>
      </c>
    </row>
    <row r="259" spans="5:81" x14ac:dyDescent="0.25">
      <c r="E259" s="177">
        <v>43</v>
      </c>
      <c r="F259" s="224">
        <f t="shared" si="404"/>
        <v>4.3000000000000003E-2</v>
      </c>
      <c r="G259" s="224"/>
      <c r="H259" s="224">
        <f t="shared" si="374"/>
        <v>0.27090000000000003</v>
      </c>
      <c r="I259" s="560">
        <f t="shared" si="375"/>
        <v>50</v>
      </c>
      <c r="J259" s="455">
        <f t="shared" si="376"/>
        <v>13.1</v>
      </c>
      <c r="K259" s="455">
        <f t="shared" si="377"/>
        <v>63.1</v>
      </c>
      <c r="L259" s="455"/>
      <c r="M259" s="224">
        <f t="shared" si="378"/>
        <v>0.20760697305863707</v>
      </c>
      <c r="N259" s="179">
        <f t="shared" si="379"/>
        <v>6.7731774960380342</v>
      </c>
      <c r="O259" s="179">
        <f t="shared" si="325"/>
        <v>0.27090000000000003</v>
      </c>
      <c r="P259" s="224">
        <f t="shared" si="380"/>
        <v>1.0751075390536562</v>
      </c>
      <c r="Q259" s="224">
        <f t="shared" si="381"/>
        <v>6.3</v>
      </c>
      <c r="R259" s="224"/>
      <c r="S259" s="179">
        <f t="shared" si="382"/>
        <v>733.72944545738983</v>
      </c>
      <c r="T259" s="179">
        <f t="shared" si="383"/>
        <v>6.3</v>
      </c>
      <c r="U259" s="224">
        <f t="shared" si="384"/>
        <v>5.7994198473282452E-2</v>
      </c>
      <c r="V259" s="224">
        <f t="shared" si="385"/>
        <v>6.3793618320610701E-2</v>
      </c>
      <c r="W259" s="224">
        <f t="shared" si="386"/>
        <v>0.24348709282675843</v>
      </c>
      <c r="X259" s="204">
        <f t="shared" si="387"/>
        <v>350</v>
      </c>
      <c r="Y259" s="455">
        <f t="shared" si="354"/>
        <v>350</v>
      </c>
      <c r="AA259" s="224">
        <f t="shared" si="388"/>
        <v>0.539238891061395</v>
      </c>
      <c r="AB259" s="180">
        <f t="shared" si="389"/>
        <v>2.2639800769753222</v>
      </c>
      <c r="AC259" s="180">
        <f t="shared" si="390"/>
        <v>0.42728913713264249</v>
      </c>
      <c r="AD259" s="180"/>
      <c r="AE259" s="180">
        <f t="shared" si="391"/>
        <v>1.217557251908397</v>
      </c>
      <c r="AF259" s="564">
        <f t="shared" si="392"/>
        <v>121.78142903469895</v>
      </c>
      <c r="AG259" s="547">
        <f t="shared" si="393"/>
        <v>0.1235820610687023</v>
      </c>
      <c r="AI259" s="180">
        <f t="shared" si="394"/>
        <v>0.17106237944778407</v>
      </c>
      <c r="AJ259" s="180">
        <f t="shared" si="395"/>
        <v>0.28999999999999998</v>
      </c>
      <c r="AK259" s="180">
        <f t="shared" si="396"/>
        <v>1.0695893880198279</v>
      </c>
      <c r="AM259" s="564">
        <f t="shared" si="397"/>
        <v>43</v>
      </c>
      <c r="AN259" s="473">
        <f t="shared" si="398"/>
        <v>121.78142903469895</v>
      </c>
      <c r="AP259">
        <f t="shared" si="399"/>
        <v>43</v>
      </c>
      <c r="AQ259">
        <f t="shared" si="400"/>
        <v>121.78142903469895</v>
      </c>
      <c r="AS259" s="5">
        <f t="shared" si="326"/>
        <v>8.2114326291496536</v>
      </c>
      <c r="AT259" s="5">
        <f t="shared" si="401"/>
        <v>0.31900000000000001</v>
      </c>
      <c r="AU259" s="5">
        <f t="shared" si="372"/>
        <v>7.8924326291496536</v>
      </c>
      <c r="AV259" s="5"/>
      <c r="AW259" s="180">
        <f t="shared" si="373"/>
        <v>3.8848275862068966E-2</v>
      </c>
      <c r="AX259" s="180"/>
      <c r="CB259" s="582">
        <f t="shared" si="402"/>
        <v>-50</v>
      </c>
      <c r="CC259">
        <f t="shared" si="403"/>
        <v>-50</v>
      </c>
    </row>
    <row r="260" spans="5:81" x14ac:dyDescent="0.25">
      <c r="E260" s="177">
        <v>44</v>
      </c>
      <c r="F260" s="224">
        <f t="shared" si="404"/>
        <v>4.4000000000000004E-2</v>
      </c>
      <c r="G260" s="224"/>
      <c r="H260" s="224">
        <f t="shared" si="374"/>
        <v>0.2772</v>
      </c>
      <c r="I260" s="560">
        <f t="shared" si="375"/>
        <v>50</v>
      </c>
      <c r="J260" s="455">
        <f t="shared" si="376"/>
        <v>13.1</v>
      </c>
      <c r="K260" s="455">
        <f t="shared" si="377"/>
        <v>63.1</v>
      </c>
      <c r="L260" s="455"/>
      <c r="M260" s="224">
        <f t="shared" si="378"/>
        <v>0.20760697305863707</v>
      </c>
      <c r="N260" s="179">
        <f t="shared" si="379"/>
        <v>6.7731774960380342</v>
      </c>
      <c r="O260" s="179">
        <f t="shared" si="325"/>
        <v>0.2772</v>
      </c>
      <c r="P260" s="224">
        <f t="shared" si="380"/>
        <v>1.0751075390536562</v>
      </c>
      <c r="Q260" s="224">
        <f t="shared" si="381"/>
        <v>6.3</v>
      </c>
      <c r="R260" s="224"/>
      <c r="S260" s="179">
        <f t="shared" si="382"/>
        <v>716.48599281397503</v>
      </c>
      <c r="T260" s="179">
        <f t="shared" si="383"/>
        <v>6.3</v>
      </c>
      <c r="U260" s="224">
        <f t="shared" si="384"/>
        <v>5.9342900763358783E-2</v>
      </c>
      <c r="V260" s="224">
        <f t="shared" si="385"/>
        <v>6.527719083969466E-2</v>
      </c>
      <c r="W260" s="224">
        <f t="shared" si="386"/>
        <v>0.24914958335761322</v>
      </c>
      <c r="X260" s="204">
        <f t="shared" si="387"/>
        <v>350</v>
      </c>
      <c r="Y260" s="455">
        <f t="shared" si="354"/>
        <v>350</v>
      </c>
      <c r="AA260" s="224">
        <f t="shared" si="388"/>
        <v>0.539238891061395</v>
      </c>
      <c r="AB260" s="180">
        <f t="shared" si="389"/>
        <v>2.2639800769753222</v>
      </c>
      <c r="AC260" s="180">
        <f t="shared" si="390"/>
        <v>0.42728913713264249</v>
      </c>
      <c r="AD260" s="180"/>
      <c r="AE260" s="180">
        <f t="shared" si="391"/>
        <v>1.217557251908397</v>
      </c>
      <c r="AF260" s="564">
        <f t="shared" si="392"/>
        <v>124.61355529131984</v>
      </c>
      <c r="AG260" s="547">
        <f t="shared" si="393"/>
        <v>0.1235820610687023</v>
      </c>
      <c r="AI260" s="180">
        <f t="shared" si="394"/>
        <v>0.17304004491116251</v>
      </c>
      <c r="AJ260" s="180">
        <f t="shared" si="395"/>
        <v>0.28999999999999998</v>
      </c>
      <c r="AK260" s="180">
        <f t="shared" si="396"/>
        <v>1.0712077458807543</v>
      </c>
      <c r="AM260" s="564">
        <f t="shared" si="397"/>
        <v>44.000000000000007</v>
      </c>
      <c r="AN260" s="473">
        <f t="shared" si="398"/>
        <v>124.61355529131984</v>
      </c>
      <c r="AP260">
        <f t="shared" si="399"/>
        <v>44.000000000000007</v>
      </c>
      <c r="AQ260">
        <f t="shared" si="400"/>
        <v>124.61355529131984</v>
      </c>
      <c r="AS260" s="5">
        <f t="shared" si="326"/>
        <v>8.0248091603053453</v>
      </c>
      <c r="AT260" s="5">
        <f t="shared" si="401"/>
        <v>0.31900000000000001</v>
      </c>
      <c r="AU260" s="5">
        <f t="shared" si="372"/>
        <v>7.7058091603053454</v>
      </c>
      <c r="AV260" s="5"/>
      <c r="AW260" s="180">
        <f t="shared" si="373"/>
        <v>3.9751724137931023E-2</v>
      </c>
      <c r="AX260" s="180"/>
      <c r="CB260" s="582">
        <f t="shared" si="402"/>
        <v>-50</v>
      </c>
      <c r="CC260">
        <f t="shared" si="403"/>
        <v>-50</v>
      </c>
    </row>
    <row r="261" spans="5:81" x14ac:dyDescent="0.25">
      <c r="E261" s="177">
        <v>45</v>
      </c>
      <c r="F261" s="224">
        <f t="shared" si="404"/>
        <v>4.5000000000000005E-2</v>
      </c>
      <c r="G261" s="224"/>
      <c r="H261" s="224">
        <f t="shared" si="374"/>
        <v>0.28350000000000003</v>
      </c>
      <c r="I261" s="560">
        <f t="shared" si="375"/>
        <v>50</v>
      </c>
      <c r="J261" s="455">
        <f t="shared" si="376"/>
        <v>13.1</v>
      </c>
      <c r="K261" s="455">
        <f t="shared" si="377"/>
        <v>63.1</v>
      </c>
      <c r="L261" s="455"/>
      <c r="M261" s="224">
        <f t="shared" si="378"/>
        <v>0.20760697305863707</v>
      </c>
      <c r="N261" s="179">
        <f t="shared" si="379"/>
        <v>6.7731774960380342</v>
      </c>
      <c r="O261" s="179">
        <f t="shared" si="325"/>
        <v>0.28350000000000003</v>
      </c>
      <c r="P261" s="224">
        <f t="shared" si="380"/>
        <v>1.0751075390536562</v>
      </c>
      <c r="Q261" s="224">
        <f t="shared" si="381"/>
        <v>6.3</v>
      </c>
      <c r="R261" s="224"/>
      <c r="S261" s="179">
        <f t="shared" si="382"/>
        <v>700.00892527003145</v>
      </c>
      <c r="T261" s="179">
        <f t="shared" si="383"/>
        <v>6.3</v>
      </c>
      <c r="U261" s="224">
        <f t="shared" si="384"/>
        <v>6.0691603053435128E-2</v>
      </c>
      <c r="V261" s="224">
        <f t="shared" si="385"/>
        <v>6.6760763358778646E-2</v>
      </c>
      <c r="W261" s="224">
        <f t="shared" si="386"/>
        <v>0.25481207388846816</v>
      </c>
      <c r="X261" s="204">
        <f t="shared" si="387"/>
        <v>350</v>
      </c>
      <c r="Y261" s="455">
        <f t="shared" si="354"/>
        <v>350</v>
      </c>
      <c r="AA261" s="224">
        <f t="shared" si="388"/>
        <v>0.539238891061395</v>
      </c>
      <c r="AB261" s="180">
        <f t="shared" si="389"/>
        <v>2.2639800769753222</v>
      </c>
      <c r="AC261" s="180">
        <f t="shared" si="390"/>
        <v>0.42728913713264249</v>
      </c>
      <c r="AD261" s="180"/>
      <c r="AE261" s="180">
        <f t="shared" si="391"/>
        <v>1.217557251908397</v>
      </c>
      <c r="AF261" s="564">
        <f t="shared" si="392"/>
        <v>127.44568154794077</v>
      </c>
      <c r="AG261" s="547">
        <f t="shared" si="393"/>
        <v>0.1235820610687023</v>
      </c>
      <c r="AI261" s="180">
        <f t="shared" si="394"/>
        <v>0.1749953617196085</v>
      </c>
      <c r="AJ261" s="180">
        <f t="shared" si="395"/>
        <v>0.28999999999999998</v>
      </c>
      <c r="AK261" s="180">
        <f t="shared" si="396"/>
        <v>1.0728261037416804</v>
      </c>
      <c r="AM261" s="564">
        <f t="shared" si="397"/>
        <v>45.000000000000007</v>
      </c>
      <c r="AN261" s="473">
        <f t="shared" si="398"/>
        <v>127.44568154794077</v>
      </c>
      <c r="AP261">
        <f t="shared" si="399"/>
        <v>45.000000000000007</v>
      </c>
      <c r="AQ261">
        <f t="shared" si="400"/>
        <v>127.44568154794077</v>
      </c>
      <c r="AS261" s="5">
        <f t="shared" si="326"/>
        <v>7.846480067854114</v>
      </c>
      <c r="AT261" s="5">
        <f t="shared" si="401"/>
        <v>0.31900000000000001</v>
      </c>
      <c r="AU261" s="5">
        <f t="shared" si="372"/>
        <v>7.5274800678541141</v>
      </c>
      <c r="AV261" s="5"/>
      <c r="AW261" s="180">
        <f t="shared" si="373"/>
        <v>4.06551724137931E-2</v>
      </c>
      <c r="AX261" s="180"/>
      <c r="CB261" s="582">
        <f t="shared" si="402"/>
        <v>-50</v>
      </c>
      <c r="CC261">
        <f t="shared" si="403"/>
        <v>-50</v>
      </c>
    </row>
    <row r="262" spans="5:81" x14ac:dyDescent="0.25">
      <c r="E262" s="177">
        <v>46</v>
      </c>
      <c r="F262" s="224">
        <f t="shared" si="404"/>
        <v>4.6000000000000006E-2</v>
      </c>
      <c r="G262" s="224"/>
      <c r="H262" s="224">
        <f t="shared" si="374"/>
        <v>0.28980000000000006</v>
      </c>
      <c r="I262" s="560">
        <f t="shared" si="375"/>
        <v>50</v>
      </c>
      <c r="J262" s="455">
        <f t="shared" si="376"/>
        <v>13.1</v>
      </c>
      <c r="K262" s="455">
        <f t="shared" si="377"/>
        <v>63.1</v>
      </c>
      <c r="L262" s="455"/>
      <c r="M262" s="224">
        <f t="shared" si="378"/>
        <v>0.20760697305863707</v>
      </c>
      <c r="N262" s="179">
        <f t="shared" si="379"/>
        <v>6.7731774960380342</v>
      </c>
      <c r="O262" s="179">
        <f t="shared" ref="O262:O316" si="405">T262*F262</f>
        <v>0.28980000000000006</v>
      </c>
      <c r="P262" s="224">
        <f t="shared" si="380"/>
        <v>1.0751075390536562</v>
      </c>
      <c r="Q262" s="224">
        <f t="shared" si="381"/>
        <v>6.3</v>
      </c>
      <c r="R262" s="224"/>
      <c r="S262" s="179">
        <f t="shared" si="382"/>
        <v>684.24826121035085</v>
      </c>
      <c r="T262" s="179">
        <f t="shared" si="383"/>
        <v>6.3</v>
      </c>
      <c r="U262" s="224">
        <f t="shared" si="384"/>
        <v>6.2040305343511466E-2</v>
      </c>
      <c r="V262" s="224">
        <f t="shared" si="385"/>
        <v>6.8244335877862619E-2</v>
      </c>
      <c r="W262" s="224">
        <f t="shared" si="386"/>
        <v>0.26047456441932298</v>
      </c>
      <c r="X262" s="204">
        <f t="shared" si="387"/>
        <v>350</v>
      </c>
      <c r="Y262" s="455">
        <f t="shared" si="354"/>
        <v>350</v>
      </c>
      <c r="AA262" s="224">
        <f t="shared" si="388"/>
        <v>0.539238891061395</v>
      </c>
      <c r="AB262" s="180">
        <f t="shared" si="389"/>
        <v>2.2639800769753222</v>
      </c>
      <c r="AC262" s="180">
        <f t="shared" si="390"/>
        <v>0.42728913713264249</v>
      </c>
      <c r="AD262" s="180"/>
      <c r="AE262" s="180">
        <f t="shared" si="391"/>
        <v>1.217557251908397</v>
      </c>
      <c r="AF262" s="564">
        <f t="shared" si="392"/>
        <v>130.27780780456166</v>
      </c>
      <c r="AG262" s="547">
        <f t="shared" si="393"/>
        <v>0.1235820610687023</v>
      </c>
      <c r="AI262" s="180">
        <f t="shared" si="394"/>
        <v>0.17692907082753842</v>
      </c>
      <c r="AJ262" s="180">
        <f t="shared" si="395"/>
        <v>0.28999999999999998</v>
      </c>
      <c r="AK262" s="180">
        <f t="shared" si="396"/>
        <v>1.0744444616026068</v>
      </c>
      <c r="AM262" s="564">
        <f t="shared" si="397"/>
        <v>46.000000000000007</v>
      </c>
      <c r="AN262" s="473">
        <f t="shared" si="398"/>
        <v>130.27780780456166</v>
      </c>
      <c r="AP262">
        <f t="shared" si="399"/>
        <v>46.000000000000007</v>
      </c>
      <c r="AQ262">
        <f t="shared" si="400"/>
        <v>130.27780780456166</v>
      </c>
      <c r="AS262" s="5">
        <f t="shared" si="326"/>
        <v>7.675904414205112</v>
      </c>
      <c r="AT262" s="5">
        <f t="shared" si="401"/>
        <v>0.31900000000000001</v>
      </c>
      <c r="AU262" s="5">
        <f t="shared" si="372"/>
        <v>7.3569044142051121</v>
      </c>
      <c r="AV262" s="5"/>
      <c r="AW262" s="180">
        <f t="shared" si="373"/>
        <v>4.1558620689655171E-2</v>
      </c>
      <c r="AX262" s="180"/>
      <c r="CB262" s="582">
        <f t="shared" si="402"/>
        <v>-50</v>
      </c>
      <c r="CC262">
        <f t="shared" si="403"/>
        <v>-50</v>
      </c>
    </row>
    <row r="263" spans="5:81" x14ac:dyDescent="0.25">
      <c r="E263" s="177">
        <v>47</v>
      </c>
      <c r="F263" s="224">
        <f t="shared" si="404"/>
        <v>4.7E-2</v>
      </c>
      <c r="G263" s="224"/>
      <c r="H263" s="224">
        <f t="shared" si="374"/>
        <v>0.29609999999999997</v>
      </c>
      <c r="I263" s="560">
        <f t="shared" si="375"/>
        <v>50</v>
      </c>
      <c r="J263" s="455">
        <f t="shared" si="376"/>
        <v>13.1</v>
      </c>
      <c r="K263" s="455">
        <f t="shared" si="377"/>
        <v>63.1</v>
      </c>
      <c r="L263" s="455"/>
      <c r="M263" s="224">
        <f t="shared" si="378"/>
        <v>0.20760697305863707</v>
      </c>
      <c r="N263" s="179">
        <f t="shared" si="379"/>
        <v>6.7731774960380342</v>
      </c>
      <c r="O263" s="179">
        <f t="shared" si="405"/>
        <v>0.29609999999999997</v>
      </c>
      <c r="P263" s="224">
        <f t="shared" si="380"/>
        <v>1.0751075390536562</v>
      </c>
      <c r="Q263" s="224">
        <f t="shared" si="381"/>
        <v>6.3</v>
      </c>
      <c r="R263" s="224"/>
      <c r="S263" s="179">
        <f t="shared" si="382"/>
        <v>669.15827277427672</v>
      </c>
      <c r="T263" s="179">
        <f t="shared" si="383"/>
        <v>6.3</v>
      </c>
      <c r="U263" s="224">
        <f t="shared" si="384"/>
        <v>6.3389007633587791E-2</v>
      </c>
      <c r="V263" s="224">
        <f t="shared" si="385"/>
        <v>6.9727908396946564E-2</v>
      </c>
      <c r="W263" s="224">
        <f t="shared" si="386"/>
        <v>0.26613705495017775</v>
      </c>
      <c r="X263" s="204">
        <f t="shared" si="387"/>
        <v>350</v>
      </c>
      <c r="Y263" s="455">
        <f t="shared" si="354"/>
        <v>350</v>
      </c>
      <c r="AA263" s="224">
        <f t="shared" si="388"/>
        <v>0.539238891061395</v>
      </c>
      <c r="AB263" s="180">
        <f t="shared" si="389"/>
        <v>2.2639800769753222</v>
      </c>
      <c r="AC263" s="180">
        <f t="shared" si="390"/>
        <v>0.42728913713264249</v>
      </c>
      <c r="AD263" s="180"/>
      <c r="AE263" s="180">
        <f t="shared" si="391"/>
        <v>1.217557251908397</v>
      </c>
      <c r="AF263" s="564">
        <f t="shared" si="392"/>
        <v>133.10993406118254</v>
      </c>
      <c r="AG263" s="547">
        <f t="shared" si="393"/>
        <v>0.1235820610687023</v>
      </c>
      <c r="AI263" s="180">
        <f t="shared" si="394"/>
        <v>0.17884187312935296</v>
      </c>
      <c r="AJ263" s="180">
        <f t="shared" si="395"/>
        <v>0.28999999999999998</v>
      </c>
      <c r="AK263" s="180">
        <f t="shared" si="396"/>
        <v>1.0760628194635329</v>
      </c>
      <c r="AM263" s="564">
        <f t="shared" si="397"/>
        <v>47</v>
      </c>
      <c r="AN263" s="473">
        <f t="shared" si="398"/>
        <v>133.10993406118254</v>
      </c>
      <c r="AP263">
        <f t="shared" si="399"/>
        <v>47</v>
      </c>
      <c r="AQ263">
        <f t="shared" si="400"/>
        <v>133.10993406118254</v>
      </c>
      <c r="AS263" s="5">
        <f t="shared" ref="AS263:AS316" si="406">1/AN263*1000</f>
        <v>7.512587299009259</v>
      </c>
      <c r="AT263" s="5">
        <f t="shared" si="401"/>
        <v>0.31900000000000001</v>
      </c>
      <c r="AU263" s="5">
        <f t="shared" si="372"/>
        <v>7.1935872990092591</v>
      </c>
      <c r="AV263" s="5"/>
      <c r="AW263" s="180">
        <f t="shared" si="373"/>
        <v>4.2462068965517234E-2</v>
      </c>
      <c r="AX263" s="180"/>
      <c r="CB263" s="582">
        <f t="shared" si="402"/>
        <v>-50</v>
      </c>
      <c r="CC263">
        <f t="shared" si="403"/>
        <v>-50</v>
      </c>
    </row>
    <row r="264" spans="5:81" x14ac:dyDescent="0.25">
      <c r="E264" s="177">
        <v>48</v>
      </c>
      <c r="F264" s="224">
        <f t="shared" si="404"/>
        <v>4.8000000000000001E-2</v>
      </c>
      <c r="G264" s="224"/>
      <c r="H264" s="224">
        <f t="shared" si="374"/>
        <v>0.3024</v>
      </c>
      <c r="I264" s="560">
        <f t="shared" si="375"/>
        <v>50</v>
      </c>
      <c r="J264" s="455">
        <f t="shared" si="376"/>
        <v>13.1</v>
      </c>
      <c r="K264" s="455">
        <f t="shared" si="377"/>
        <v>63.1</v>
      </c>
      <c r="L264" s="455"/>
      <c r="M264" s="224">
        <f t="shared" si="378"/>
        <v>0.20760697305863707</v>
      </c>
      <c r="N264" s="179">
        <f t="shared" si="379"/>
        <v>6.7731774960380342</v>
      </c>
      <c r="O264" s="179">
        <f t="shared" si="405"/>
        <v>0.3024</v>
      </c>
      <c r="P264" s="224">
        <f t="shared" si="380"/>
        <v>1.0751075390536562</v>
      </c>
      <c r="Q264" s="224">
        <f t="shared" si="381"/>
        <v>6.3</v>
      </c>
      <c r="R264" s="224"/>
      <c r="S264" s="179">
        <f t="shared" si="382"/>
        <v>654.6970427562718</v>
      </c>
      <c r="T264" s="179">
        <f t="shared" si="383"/>
        <v>6.3</v>
      </c>
      <c r="U264" s="224">
        <f t="shared" si="384"/>
        <v>6.4737709923664122E-2</v>
      </c>
      <c r="V264" s="224">
        <f t="shared" si="385"/>
        <v>7.1211480916030537E-2</v>
      </c>
      <c r="W264" s="224">
        <f t="shared" si="386"/>
        <v>0.27179954548103258</v>
      </c>
      <c r="X264" s="204">
        <f t="shared" si="387"/>
        <v>350</v>
      </c>
      <c r="Y264" s="455">
        <f t="shared" si="354"/>
        <v>350</v>
      </c>
      <c r="AA264" s="224">
        <f t="shared" si="388"/>
        <v>0.539238891061395</v>
      </c>
      <c r="AB264" s="180">
        <f t="shared" si="389"/>
        <v>2.2639800769753222</v>
      </c>
      <c r="AC264" s="180">
        <f t="shared" si="390"/>
        <v>0.42728913713264249</v>
      </c>
      <c r="AD264" s="180"/>
      <c r="AE264" s="180">
        <f t="shared" si="391"/>
        <v>1.217557251908397</v>
      </c>
      <c r="AF264" s="564">
        <f t="shared" si="392"/>
        <v>135.94206031780345</v>
      </c>
      <c r="AG264" s="547">
        <f t="shared" si="393"/>
        <v>0.1235820610687023</v>
      </c>
      <c r="AI264" s="180">
        <f t="shared" si="394"/>
        <v>0.1807344324276231</v>
      </c>
      <c r="AJ264" s="180">
        <f t="shared" si="395"/>
        <v>0.28999999999999998</v>
      </c>
      <c r="AK264" s="180">
        <f t="shared" si="396"/>
        <v>1.0776811773244592</v>
      </c>
      <c r="AM264" s="564">
        <f t="shared" si="397"/>
        <v>48</v>
      </c>
      <c r="AN264" s="473">
        <f t="shared" si="398"/>
        <v>135.94206031780345</v>
      </c>
      <c r="AP264">
        <f t="shared" si="399"/>
        <v>48</v>
      </c>
      <c r="AQ264">
        <f t="shared" si="400"/>
        <v>135.94206031780345</v>
      </c>
      <c r="AS264" s="5">
        <f t="shared" si="406"/>
        <v>7.3560750636132326</v>
      </c>
      <c r="AT264" s="5">
        <f t="shared" si="401"/>
        <v>0.31900000000000001</v>
      </c>
      <c r="AU264" s="5">
        <f t="shared" si="372"/>
        <v>7.0370750636132327</v>
      </c>
      <c r="AV264" s="5"/>
      <c r="AW264" s="180">
        <f t="shared" si="373"/>
        <v>4.3365517241379305E-2</v>
      </c>
      <c r="AX264" s="180"/>
      <c r="CB264" s="582">
        <f t="shared" si="402"/>
        <v>-50</v>
      </c>
      <c r="CC264">
        <f t="shared" si="403"/>
        <v>-50</v>
      </c>
    </row>
    <row r="265" spans="5:81" x14ac:dyDescent="0.25">
      <c r="E265" s="177">
        <v>49</v>
      </c>
      <c r="F265" s="224">
        <f t="shared" si="404"/>
        <v>4.9000000000000002E-2</v>
      </c>
      <c r="G265" s="224"/>
      <c r="H265" s="224">
        <f t="shared" si="374"/>
        <v>0.30870000000000003</v>
      </c>
      <c r="I265" s="560">
        <f t="shared" si="375"/>
        <v>50</v>
      </c>
      <c r="J265" s="455">
        <f t="shared" si="376"/>
        <v>13.1</v>
      </c>
      <c r="K265" s="455">
        <f t="shared" si="377"/>
        <v>63.1</v>
      </c>
      <c r="L265" s="455"/>
      <c r="M265" s="224">
        <f t="shared" si="378"/>
        <v>0.20760697305863707</v>
      </c>
      <c r="N265" s="179">
        <f t="shared" si="379"/>
        <v>6.7731774960380342</v>
      </c>
      <c r="O265" s="179">
        <f t="shared" si="405"/>
        <v>0.30870000000000003</v>
      </c>
      <c r="P265" s="224">
        <f t="shared" si="380"/>
        <v>1.0751075390536562</v>
      </c>
      <c r="Q265" s="224">
        <f t="shared" si="381"/>
        <v>6.3</v>
      </c>
      <c r="R265" s="224"/>
      <c r="S265" s="179">
        <f t="shared" si="382"/>
        <v>640.82607576356031</v>
      </c>
      <c r="T265" s="179">
        <f t="shared" si="383"/>
        <v>6.3</v>
      </c>
      <c r="U265" s="224">
        <f t="shared" si="384"/>
        <v>6.6086412213740467E-2</v>
      </c>
      <c r="V265" s="224">
        <f t="shared" si="385"/>
        <v>7.2695053435114509E-2</v>
      </c>
      <c r="W265" s="224">
        <f t="shared" si="386"/>
        <v>0.27746203601188746</v>
      </c>
      <c r="X265" s="204">
        <f t="shared" si="387"/>
        <v>350</v>
      </c>
      <c r="Y265" s="455">
        <f t="shared" si="354"/>
        <v>350</v>
      </c>
      <c r="AA265" s="224">
        <f t="shared" si="388"/>
        <v>0.539238891061395</v>
      </c>
      <c r="AB265" s="180">
        <f t="shared" si="389"/>
        <v>2.2639800769753222</v>
      </c>
      <c r="AC265" s="180">
        <f t="shared" si="390"/>
        <v>0.42728913713264249</v>
      </c>
      <c r="AD265" s="180"/>
      <c r="AE265" s="180">
        <f t="shared" si="391"/>
        <v>1.217557251908397</v>
      </c>
      <c r="AF265" s="564">
        <f t="shared" si="392"/>
        <v>138.77418657442439</v>
      </c>
      <c r="AG265" s="547">
        <f t="shared" si="393"/>
        <v>0.1235820610687023</v>
      </c>
      <c r="AI265" s="180">
        <f t="shared" si="394"/>
        <v>0.18260737812436426</v>
      </c>
      <c r="AJ265" s="180">
        <f t="shared" si="395"/>
        <v>0.28999999999999998</v>
      </c>
      <c r="AK265" s="180">
        <f t="shared" si="396"/>
        <v>1.0792995351853854</v>
      </c>
      <c r="AM265" s="564">
        <f t="shared" si="397"/>
        <v>49</v>
      </c>
      <c r="AN265" s="473">
        <f t="shared" si="398"/>
        <v>138.77418657442439</v>
      </c>
      <c r="AP265">
        <f t="shared" si="399"/>
        <v>49</v>
      </c>
      <c r="AQ265">
        <f t="shared" si="400"/>
        <v>138.77418657442439</v>
      </c>
      <c r="AS265" s="5">
        <f t="shared" si="406"/>
        <v>7.2059510827231659</v>
      </c>
      <c r="AT265" s="5">
        <f t="shared" si="401"/>
        <v>0.31900000000000001</v>
      </c>
      <c r="AU265" s="5">
        <f t="shared" si="372"/>
        <v>6.8869510827231659</v>
      </c>
      <c r="AV265" s="5"/>
      <c r="AW265" s="180">
        <f t="shared" si="373"/>
        <v>4.4268965517241375E-2</v>
      </c>
      <c r="AX265" s="180"/>
      <c r="CB265" s="582">
        <f t="shared" si="402"/>
        <v>-50</v>
      </c>
      <c r="CC265">
        <f t="shared" si="403"/>
        <v>-50</v>
      </c>
    </row>
    <row r="266" spans="5:81" x14ac:dyDescent="0.25">
      <c r="E266" s="177">
        <v>50</v>
      </c>
      <c r="F266" s="224">
        <f t="shared" si="404"/>
        <v>0.05</v>
      </c>
      <c r="G266" s="224"/>
      <c r="H266" s="224">
        <f t="shared" si="374"/>
        <v>0.315</v>
      </c>
      <c r="I266" s="560">
        <f t="shared" si="375"/>
        <v>50</v>
      </c>
      <c r="J266" s="455">
        <f t="shared" si="376"/>
        <v>13.1</v>
      </c>
      <c r="K266" s="455">
        <f t="shared" si="377"/>
        <v>63.1</v>
      </c>
      <c r="L266" s="455"/>
      <c r="M266" s="224">
        <f t="shared" si="378"/>
        <v>0.20760697305863707</v>
      </c>
      <c r="N266" s="179">
        <f t="shared" si="379"/>
        <v>6.7731774960380342</v>
      </c>
      <c r="O266" s="179">
        <f t="shared" si="405"/>
        <v>0.315</v>
      </c>
      <c r="P266" s="224">
        <f t="shared" si="380"/>
        <v>1.0751075390536562</v>
      </c>
      <c r="Q266" s="224">
        <f t="shared" si="381"/>
        <v>6.3</v>
      </c>
      <c r="R266" s="224"/>
      <c r="S266" s="179">
        <f t="shared" si="382"/>
        <v>627.50995603485046</v>
      </c>
      <c r="T266" s="179">
        <f t="shared" si="383"/>
        <v>6.3</v>
      </c>
      <c r="U266" s="224">
        <f t="shared" si="384"/>
        <v>6.7435114503816798E-2</v>
      </c>
      <c r="V266" s="224">
        <f t="shared" si="385"/>
        <v>7.4178625954198482E-2</v>
      </c>
      <c r="W266" s="224">
        <f t="shared" si="386"/>
        <v>0.28312452654274228</v>
      </c>
      <c r="X266" s="204">
        <f t="shared" si="387"/>
        <v>350</v>
      </c>
      <c r="Y266" s="455">
        <f t="shared" si="354"/>
        <v>350</v>
      </c>
      <c r="AA266" s="224">
        <f t="shared" si="388"/>
        <v>0.539238891061395</v>
      </c>
      <c r="AB266" s="180">
        <f t="shared" si="389"/>
        <v>2.2639800769753222</v>
      </c>
      <c r="AC266" s="180">
        <f t="shared" si="390"/>
        <v>0.42728913713264249</v>
      </c>
      <c r="AD266" s="180"/>
      <c r="AE266" s="180">
        <f t="shared" si="391"/>
        <v>1.217557251908397</v>
      </c>
      <c r="AF266" s="564">
        <f t="shared" si="392"/>
        <v>141.60631283104527</v>
      </c>
      <c r="AG266" s="547">
        <f t="shared" si="393"/>
        <v>0.1235820610687023</v>
      </c>
      <c r="AI266" s="180">
        <f t="shared" si="394"/>
        <v>0.18446130766633426</v>
      </c>
      <c r="AJ266" s="180">
        <f t="shared" si="395"/>
        <v>0.28999999999999998</v>
      </c>
      <c r="AK266" s="180">
        <f t="shared" si="396"/>
        <v>1.0809178930463117</v>
      </c>
      <c r="AM266" s="564">
        <f t="shared" si="397"/>
        <v>50</v>
      </c>
      <c r="AN266" s="473">
        <f t="shared" si="398"/>
        <v>141.60631283104527</v>
      </c>
      <c r="AP266">
        <f t="shared" si="399"/>
        <v>50</v>
      </c>
      <c r="AQ266">
        <f t="shared" si="400"/>
        <v>141.60631283104527</v>
      </c>
      <c r="AS266" s="5">
        <f t="shared" si="406"/>
        <v>7.0618320610687038</v>
      </c>
      <c r="AT266" s="5">
        <f t="shared" si="401"/>
        <v>0.31900000000000001</v>
      </c>
      <c r="AU266" s="5">
        <f t="shared" si="372"/>
        <v>6.7428320610687038</v>
      </c>
      <c r="AV266" s="5"/>
      <c r="AW266" s="180">
        <f t="shared" si="373"/>
        <v>4.5172413793103439E-2</v>
      </c>
      <c r="AX266" s="180"/>
      <c r="CB266" s="582">
        <f t="shared" si="402"/>
        <v>-50</v>
      </c>
      <c r="CC266">
        <f t="shared" si="403"/>
        <v>-50</v>
      </c>
    </row>
    <row r="267" spans="5:81" x14ac:dyDescent="0.25">
      <c r="E267" s="177">
        <v>51</v>
      </c>
      <c r="F267" s="224">
        <f t="shared" si="404"/>
        <v>5.1000000000000004E-2</v>
      </c>
      <c r="G267" s="224"/>
      <c r="H267" s="224">
        <f t="shared" si="374"/>
        <v>0.32130000000000003</v>
      </c>
      <c r="I267" s="560">
        <f t="shared" si="375"/>
        <v>50</v>
      </c>
      <c r="J267" s="455">
        <f t="shared" si="376"/>
        <v>13.1</v>
      </c>
      <c r="K267" s="455">
        <f t="shared" si="377"/>
        <v>63.1</v>
      </c>
      <c r="L267" s="455"/>
      <c r="M267" s="224">
        <f t="shared" si="378"/>
        <v>0.20760697305863707</v>
      </c>
      <c r="N267" s="179">
        <f t="shared" si="379"/>
        <v>6.7731774960380342</v>
      </c>
      <c r="O267" s="179">
        <f t="shared" si="405"/>
        <v>0.32130000000000003</v>
      </c>
      <c r="P267" s="224">
        <f t="shared" si="380"/>
        <v>1.0751075390536562</v>
      </c>
      <c r="Q267" s="224">
        <f t="shared" si="381"/>
        <v>6.3</v>
      </c>
      <c r="R267" s="224"/>
      <c r="S267" s="179">
        <f t="shared" si="382"/>
        <v>614.71604551568089</v>
      </c>
      <c r="T267" s="179">
        <f t="shared" si="383"/>
        <v>6.3</v>
      </c>
      <c r="U267" s="224">
        <f t="shared" si="384"/>
        <v>6.8783816793893143E-2</v>
      </c>
      <c r="V267" s="224">
        <f t="shared" si="385"/>
        <v>7.5662198473282455E-2</v>
      </c>
      <c r="W267" s="224">
        <f t="shared" si="386"/>
        <v>0.28878701707359716</v>
      </c>
      <c r="X267" s="204">
        <f t="shared" si="387"/>
        <v>350</v>
      </c>
      <c r="Y267" s="455">
        <f t="shared" si="354"/>
        <v>350</v>
      </c>
      <c r="AA267" s="224">
        <f t="shared" si="388"/>
        <v>0.539238891061395</v>
      </c>
      <c r="AB267" s="180">
        <f t="shared" si="389"/>
        <v>2.2639800769753222</v>
      </c>
      <c r="AC267" s="180">
        <f t="shared" si="390"/>
        <v>0.42728913713264249</v>
      </c>
      <c r="AD267" s="180"/>
      <c r="AE267" s="180">
        <f t="shared" si="391"/>
        <v>1.217557251908397</v>
      </c>
      <c r="AF267" s="564">
        <f t="shared" si="392"/>
        <v>144.43843908766618</v>
      </c>
      <c r="AG267" s="547">
        <f t="shared" si="393"/>
        <v>0.1235820610687023</v>
      </c>
      <c r="AI267" s="180">
        <f t="shared" si="394"/>
        <v>0.18629678877128694</v>
      </c>
      <c r="AJ267" s="180">
        <f t="shared" si="395"/>
        <v>0.28999999999999998</v>
      </c>
      <c r="AK267" s="180">
        <f t="shared" si="396"/>
        <v>1.0825362509072378</v>
      </c>
      <c r="AM267" s="564">
        <f t="shared" si="397"/>
        <v>51.000000000000007</v>
      </c>
      <c r="AN267" s="473">
        <f t="shared" si="398"/>
        <v>144.43843908766618</v>
      </c>
      <c r="AP267">
        <f t="shared" si="399"/>
        <v>51.000000000000007</v>
      </c>
      <c r="AQ267">
        <f t="shared" si="400"/>
        <v>144.43843908766618</v>
      </c>
      <c r="AS267" s="5">
        <f t="shared" si="406"/>
        <v>6.9233647657536306</v>
      </c>
      <c r="AT267" s="5">
        <f t="shared" si="401"/>
        <v>0.31900000000000001</v>
      </c>
      <c r="AU267" s="5">
        <f t="shared" si="372"/>
        <v>6.6043647657536306</v>
      </c>
      <c r="AV267" s="5"/>
      <c r="AW267" s="180">
        <f t="shared" si="373"/>
        <v>4.6075862068965509E-2</v>
      </c>
      <c r="AX267" s="180"/>
      <c r="CB267" s="582">
        <f t="shared" si="402"/>
        <v>-50</v>
      </c>
      <c r="CC267">
        <f t="shared" si="403"/>
        <v>-50</v>
      </c>
    </row>
    <row r="268" spans="5:81" x14ac:dyDescent="0.25">
      <c r="E268" s="177">
        <v>52</v>
      </c>
      <c r="F268" s="224">
        <f t="shared" si="404"/>
        <v>5.2000000000000005E-2</v>
      </c>
      <c r="G268" s="224"/>
      <c r="H268" s="224">
        <f t="shared" si="374"/>
        <v>0.3276</v>
      </c>
      <c r="I268" s="560">
        <f t="shared" si="375"/>
        <v>50</v>
      </c>
      <c r="J268" s="455">
        <f t="shared" si="376"/>
        <v>13.1</v>
      </c>
      <c r="K268" s="455">
        <f t="shared" si="377"/>
        <v>63.1</v>
      </c>
      <c r="L268" s="455"/>
      <c r="M268" s="224">
        <f t="shared" si="378"/>
        <v>0.20760697305863707</v>
      </c>
      <c r="N268" s="179">
        <f t="shared" si="379"/>
        <v>6.7731774960380342</v>
      </c>
      <c r="O268" s="179">
        <f t="shared" si="405"/>
        <v>0.3276</v>
      </c>
      <c r="P268" s="224">
        <f t="shared" si="380"/>
        <v>1.0751075390536562</v>
      </c>
      <c r="Q268" s="224">
        <f t="shared" si="381"/>
        <v>6.3</v>
      </c>
      <c r="R268" s="224"/>
      <c r="S268" s="179">
        <f t="shared" si="382"/>
        <v>602.41421677122491</v>
      </c>
      <c r="T268" s="179">
        <f t="shared" si="383"/>
        <v>6.3</v>
      </c>
      <c r="U268" s="224">
        <f t="shared" si="384"/>
        <v>7.0132519083969475E-2</v>
      </c>
      <c r="V268" s="224">
        <f t="shared" si="385"/>
        <v>7.7145770992366428E-2</v>
      </c>
      <c r="W268" s="224">
        <f t="shared" si="386"/>
        <v>0.29444950760445204</v>
      </c>
      <c r="X268" s="204">
        <f t="shared" si="387"/>
        <v>350</v>
      </c>
      <c r="Y268" s="455">
        <f t="shared" si="354"/>
        <v>350</v>
      </c>
      <c r="AA268" s="224">
        <f t="shared" si="388"/>
        <v>0.539238891061395</v>
      </c>
      <c r="AB268" s="180">
        <f t="shared" si="389"/>
        <v>2.2639800769753222</v>
      </c>
      <c r="AC268" s="180">
        <f t="shared" si="390"/>
        <v>0.42728913713264249</v>
      </c>
      <c r="AD268" s="180"/>
      <c r="AE268" s="180">
        <f t="shared" si="391"/>
        <v>1.217557251908397</v>
      </c>
      <c r="AF268" s="564">
        <f t="shared" si="392"/>
        <v>147.27056534428709</v>
      </c>
      <c r="AG268" s="547">
        <f t="shared" si="393"/>
        <v>0.1235820610687023</v>
      </c>
      <c r="AI268" s="180">
        <f t="shared" si="394"/>
        <v>0.18811436145869614</v>
      </c>
      <c r="AJ268" s="180">
        <f t="shared" si="395"/>
        <v>0.28999999999999998</v>
      </c>
      <c r="AK268" s="180">
        <f t="shared" si="396"/>
        <v>1.0841546087681642</v>
      </c>
      <c r="AM268" s="564">
        <f t="shared" si="397"/>
        <v>52.000000000000007</v>
      </c>
      <c r="AN268" s="473">
        <f t="shared" si="398"/>
        <v>147.27056534428709</v>
      </c>
      <c r="AP268">
        <f t="shared" si="399"/>
        <v>52.000000000000007</v>
      </c>
      <c r="AQ268">
        <f t="shared" si="400"/>
        <v>147.27056534428709</v>
      </c>
      <c r="AS268" s="5">
        <f t="shared" si="406"/>
        <v>6.7902231356429832</v>
      </c>
      <c r="AT268" s="5">
        <f t="shared" si="401"/>
        <v>0.31900000000000001</v>
      </c>
      <c r="AU268" s="5">
        <f t="shared" si="372"/>
        <v>6.4712231356429832</v>
      </c>
      <c r="AV268" s="5"/>
      <c r="AW268" s="180">
        <f t="shared" si="373"/>
        <v>4.6979310344827586E-2</v>
      </c>
      <c r="AX268" s="180"/>
      <c r="CB268" s="582">
        <f t="shared" si="402"/>
        <v>-50</v>
      </c>
      <c r="CC268">
        <f t="shared" si="403"/>
        <v>-50</v>
      </c>
    </row>
    <row r="269" spans="5:81" x14ac:dyDescent="0.25">
      <c r="E269" s="177">
        <v>53</v>
      </c>
      <c r="F269" s="224">
        <f t="shared" si="404"/>
        <v>5.3000000000000005E-2</v>
      </c>
      <c r="G269" s="224"/>
      <c r="H269" s="224">
        <f t="shared" si="374"/>
        <v>0.33390000000000003</v>
      </c>
      <c r="I269" s="560">
        <f t="shared" si="375"/>
        <v>50</v>
      </c>
      <c r="J269" s="455">
        <f t="shared" si="376"/>
        <v>13.1</v>
      </c>
      <c r="K269" s="455">
        <f t="shared" si="377"/>
        <v>63.1</v>
      </c>
      <c r="L269" s="455"/>
      <c r="M269" s="224">
        <f t="shared" si="378"/>
        <v>0.20760697305863707</v>
      </c>
      <c r="N269" s="179">
        <f t="shared" si="379"/>
        <v>6.7731774960380342</v>
      </c>
      <c r="O269" s="179">
        <f t="shared" si="405"/>
        <v>0.33390000000000003</v>
      </c>
      <c r="P269" s="224">
        <f t="shared" si="380"/>
        <v>1.0751075390536562</v>
      </c>
      <c r="Q269" s="224">
        <f t="shared" si="381"/>
        <v>6.3</v>
      </c>
      <c r="R269" s="224"/>
      <c r="S269" s="179">
        <f t="shared" si="382"/>
        <v>590.57661613538164</v>
      </c>
      <c r="T269" s="179">
        <f t="shared" si="383"/>
        <v>6.3</v>
      </c>
      <c r="U269" s="224">
        <f t="shared" si="384"/>
        <v>7.148122137404582E-2</v>
      </c>
      <c r="V269" s="224">
        <f t="shared" si="385"/>
        <v>7.86293435114504E-2</v>
      </c>
      <c r="W269" s="224">
        <f t="shared" si="386"/>
        <v>0.30011199813530692</v>
      </c>
      <c r="X269" s="204">
        <f t="shared" si="387"/>
        <v>350</v>
      </c>
      <c r="Y269" s="455">
        <f t="shared" si="354"/>
        <v>350</v>
      </c>
      <c r="AA269" s="224">
        <f t="shared" si="388"/>
        <v>0.539238891061395</v>
      </c>
      <c r="AB269" s="180">
        <f t="shared" si="389"/>
        <v>2.2639800769753222</v>
      </c>
      <c r="AC269" s="180">
        <f t="shared" si="390"/>
        <v>0.42728913713264249</v>
      </c>
      <c r="AD269" s="180"/>
      <c r="AE269" s="180">
        <f t="shared" si="391"/>
        <v>1.217557251908397</v>
      </c>
      <c r="AF269" s="564">
        <f t="shared" si="392"/>
        <v>150.102691600908</v>
      </c>
      <c r="AG269" s="547">
        <f t="shared" si="393"/>
        <v>0.1235820610687023</v>
      </c>
      <c r="AI269" s="180">
        <f t="shared" si="394"/>
        <v>0.18991453990553875</v>
      </c>
      <c r="AJ269" s="180">
        <f t="shared" si="395"/>
        <v>0.28999999999999998</v>
      </c>
      <c r="AK269" s="180">
        <f t="shared" si="396"/>
        <v>1.0857729666290903</v>
      </c>
      <c r="AM269" s="564">
        <f t="shared" si="397"/>
        <v>53.000000000000007</v>
      </c>
      <c r="AN269" s="473">
        <f t="shared" si="398"/>
        <v>150.102691600908</v>
      </c>
      <c r="AP269">
        <f t="shared" si="399"/>
        <v>53.000000000000007</v>
      </c>
      <c r="AQ269">
        <f t="shared" si="400"/>
        <v>150.102691600908</v>
      </c>
      <c r="AS269" s="5">
        <f t="shared" si="406"/>
        <v>6.6621057179893421</v>
      </c>
      <c r="AT269" s="5">
        <f t="shared" si="401"/>
        <v>0.31900000000000001</v>
      </c>
      <c r="AU269" s="5">
        <f t="shared" si="372"/>
        <v>6.3431057179893422</v>
      </c>
      <c r="AV269" s="5"/>
      <c r="AW269" s="180">
        <f t="shared" si="373"/>
        <v>4.7882758620689657E-2</v>
      </c>
      <c r="AX269" s="180"/>
      <c r="CB269" s="582">
        <f t="shared" si="402"/>
        <v>-50</v>
      </c>
      <c r="CC269">
        <f t="shared" si="403"/>
        <v>-50</v>
      </c>
    </row>
    <row r="270" spans="5:81" x14ac:dyDescent="0.25">
      <c r="E270" s="177">
        <v>54</v>
      </c>
      <c r="F270" s="224">
        <f t="shared" si="404"/>
        <v>5.4000000000000006E-2</v>
      </c>
      <c r="G270" s="224"/>
      <c r="H270" s="224">
        <f t="shared" si="374"/>
        <v>0.34020000000000006</v>
      </c>
      <c r="I270" s="560">
        <f t="shared" si="375"/>
        <v>50</v>
      </c>
      <c r="J270" s="455">
        <f t="shared" si="376"/>
        <v>13.1</v>
      </c>
      <c r="K270" s="455">
        <f t="shared" si="377"/>
        <v>63.1</v>
      </c>
      <c r="L270" s="455"/>
      <c r="M270" s="224">
        <f t="shared" si="378"/>
        <v>0.20760697305863707</v>
      </c>
      <c r="N270" s="179">
        <f t="shared" si="379"/>
        <v>6.7731774960380342</v>
      </c>
      <c r="O270" s="179">
        <f t="shared" si="405"/>
        <v>0.34020000000000006</v>
      </c>
      <c r="P270" s="224">
        <f t="shared" si="380"/>
        <v>1.0751075390536562</v>
      </c>
      <c r="Q270" s="224">
        <f t="shared" si="381"/>
        <v>6.3</v>
      </c>
      <c r="R270" s="224"/>
      <c r="S270" s="179">
        <f t="shared" si="382"/>
        <v>579.17745317663571</v>
      </c>
      <c r="T270" s="179">
        <f t="shared" si="383"/>
        <v>6.3</v>
      </c>
      <c r="U270" s="224">
        <f t="shared" si="384"/>
        <v>7.2829923664122151E-2</v>
      </c>
      <c r="V270" s="224">
        <f t="shared" si="385"/>
        <v>8.0112916030534373E-2</v>
      </c>
      <c r="W270" s="224">
        <f t="shared" si="386"/>
        <v>0.30577448866616175</v>
      </c>
      <c r="X270" s="204">
        <f t="shared" si="387"/>
        <v>350</v>
      </c>
      <c r="Y270" s="455">
        <f t="shared" si="354"/>
        <v>350</v>
      </c>
      <c r="AA270" s="224">
        <f t="shared" si="388"/>
        <v>0.539238891061395</v>
      </c>
      <c r="AB270" s="180">
        <f t="shared" si="389"/>
        <v>2.2639800769753222</v>
      </c>
      <c r="AC270" s="180">
        <f t="shared" si="390"/>
        <v>0.42728913713264249</v>
      </c>
      <c r="AD270" s="180"/>
      <c r="AE270" s="180">
        <f t="shared" si="391"/>
        <v>1.217557251908397</v>
      </c>
      <c r="AF270" s="564">
        <f t="shared" si="392"/>
        <v>152.93481785752891</v>
      </c>
      <c r="AG270" s="547">
        <f t="shared" si="393"/>
        <v>0.1235820610687023</v>
      </c>
      <c r="AI270" s="180">
        <f t="shared" si="394"/>
        <v>0.19169781414521123</v>
      </c>
      <c r="AJ270" s="180">
        <f t="shared" si="395"/>
        <v>0.28999999999999998</v>
      </c>
      <c r="AK270" s="180">
        <f t="shared" si="396"/>
        <v>1.0873913244900164</v>
      </c>
      <c r="AM270" s="564">
        <f t="shared" si="397"/>
        <v>54.000000000000007</v>
      </c>
      <c r="AN270" s="473">
        <f t="shared" si="398"/>
        <v>152.93481785752891</v>
      </c>
      <c r="AP270">
        <f t="shared" si="399"/>
        <v>54.000000000000007</v>
      </c>
      <c r="AQ270">
        <f t="shared" si="400"/>
        <v>152.93481785752891</v>
      </c>
      <c r="AS270" s="5">
        <f t="shared" si="406"/>
        <v>6.5387333898784279</v>
      </c>
      <c r="AT270" s="5">
        <f t="shared" si="401"/>
        <v>0.31900000000000001</v>
      </c>
      <c r="AU270" s="5">
        <f t="shared" si="372"/>
        <v>6.2197333898784279</v>
      </c>
      <c r="AV270" s="5"/>
      <c r="AW270" s="180">
        <f t="shared" si="373"/>
        <v>4.8786206896551727E-2</v>
      </c>
      <c r="AX270" s="180"/>
      <c r="CB270" s="582">
        <f t="shared" si="402"/>
        <v>-50</v>
      </c>
      <c r="CC270">
        <f t="shared" si="403"/>
        <v>-50</v>
      </c>
    </row>
    <row r="271" spans="5:81" x14ac:dyDescent="0.25">
      <c r="E271" s="177">
        <v>55</v>
      </c>
      <c r="F271" s="224">
        <f t="shared" si="404"/>
        <v>5.5000000000000007E-2</v>
      </c>
      <c r="G271" s="224"/>
      <c r="H271" s="224">
        <f t="shared" si="374"/>
        <v>0.34650000000000003</v>
      </c>
      <c r="I271" s="560">
        <f t="shared" si="375"/>
        <v>50</v>
      </c>
      <c r="J271" s="455">
        <f t="shared" si="376"/>
        <v>13.1</v>
      </c>
      <c r="K271" s="455">
        <f t="shared" si="377"/>
        <v>63.1</v>
      </c>
      <c r="L271" s="455"/>
      <c r="M271" s="224">
        <f t="shared" si="378"/>
        <v>0.20760697305863707</v>
      </c>
      <c r="N271" s="179">
        <f t="shared" si="379"/>
        <v>6.7731774960380342</v>
      </c>
      <c r="O271" s="179">
        <f t="shared" si="405"/>
        <v>0.34650000000000003</v>
      </c>
      <c r="P271" s="224">
        <f t="shared" si="380"/>
        <v>1.0751075390536562</v>
      </c>
      <c r="Q271" s="224">
        <f t="shared" si="381"/>
        <v>6.3</v>
      </c>
      <c r="R271" s="224"/>
      <c r="S271" s="179">
        <f t="shared" si="382"/>
        <v>568.1928131312759</v>
      </c>
      <c r="T271" s="179">
        <f t="shared" si="383"/>
        <v>6.3</v>
      </c>
      <c r="U271" s="224">
        <f t="shared" si="384"/>
        <v>7.4178625954198482E-2</v>
      </c>
      <c r="V271" s="224">
        <f t="shared" si="385"/>
        <v>8.1596488549618332E-2</v>
      </c>
      <c r="W271" s="224">
        <f t="shared" si="386"/>
        <v>0.31143697919701652</v>
      </c>
      <c r="X271" s="204">
        <f t="shared" si="387"/>
        <v>350</v>
      </c>
      <c r="Y271" s="455">
        <f t="shared" si="354"/>
        <v>350</v>
      </c>
      <c r="AA271" s="224">
        <f t="shared" si="388"/>
        <v>0.539238891061395</v>
      </c>
      <c r="AB271" s="180">
        <f t="shared" si="389"/>
        <v>2.2639800769753222</v>
      </c>
      <c r="AC271" s="180">
        <f t="shared" si="390"/>
        <v>0.42728913713264249</v>
      </c>
      <c r="AD271" s="180"/>
      <c r="AE271" s="180">
        <f t="shared" si="391"/>
        <v>1.217557251908397</v>
      </c>
      <c r="AF271" s="564">
        <f t="shared" si="392"/>
        <v>155.76694411414982</v>
      </c>
      <c r="AG271" s="547">
        <f t="shared" si="393"/>
        <v>0.1235820610687023</v>
      </c>
      <c r="AI271" s="180">
        <f t="shared" si="394"/>
        <v>0.19346465162548798</v>
      </c>
      <c r="AJ271" s="180">
        <f t="shared" si="395"/>
        <v>0.28999999999999998</v>
      </c>
      <c r="AK271" s="180">
        <f t="shared" si="396"/>
        <v>1.0890096823509428</v>
      </c>
      <c r="AM271" s="564">
        <f t="shared" si="397"/>
        <v>55.000000000000007</v>
      </c>
      <c r="AN271" s="473">
        <f t="shared" si="398"/>
        <v>155.76694411414982</v>
      </c>
      <c r="AP271">
        <f t="shared" si="399"/>
        <v>55.000000000000007</v>
      </c>
      <c r="AQ271">
        <f t="shared" si="400"/>
        <v>155.76694411414982</v>
      </c>
      <c r="AS271" s="5">
        <f t="shared" si="406"/>
        <v>6.4198473282442752</v>
      </c>
      <c r="AT271" s="5">
        <f t="shared" si="401"/>
        <v>0.31900000000000001</v>
      </c>
      <c r="AU271" s="5">
        <f t="shared" si="372"/>
        <v>6.1008473282442752</v>
      </c>
      <c r="AV271" s="5"/>
      <c r="AW271" s="180">
        <f t="shared" si="373"/>
        <v>4.9689655172413791E-2</v>
      </c>
      <c r="AX271" s="180"/>
      <c r="CB271" s="582">
        <f t="shared" si="402"/>
        <v>-50</v>
      </c>
      <c r="CC271">
        <f t="shared" si="403"/>
        <v>-50</v>
      </c>
    </row>
    <row r="272" spans="5:81" x14ac:dyDescent="0.25">
      <c r="E272" s="177">
        <v>56</v>
      </c>
      <c r="F272" s="224">
        <f t="shared" si="404"/>
        <v>5.6000000000000008E-2</v>
      </c>
      <c r="G272" s="224"/>
      <c r="H272" s="224">
        <f t="shared" si="374"/>
        <v>0.35280000000000006</v>
      </c>
      <c r="I272" s="560">
        <f t="shared" si="375"/>
        <v>50</v>
      </c>
      <c r="J272" s="455">
        <f t="shared" si="376"/>
        <v>13.1</v>
      </c>
      <c r="K272" s="455">
        <f t="shared" si="377"/>
        <v>63.1</v>
      </c>
      <c r="L272" s="455"/>
      <c r="M272" s="224">
        <f t="shared" si="378"/>
        <v>0.20760697305863707</v>
      </c>
      <c r="N272" s="179">
        <f t="shared" si="379"/>
        <v>6.7731774960380342</v>
      </c>
      <c r="O272" s="179">
        <f t="shared" si="405"/>
        <v>0.35280000000000006</v>
      </c>
      <c r="P272" s="224">
        <f t="shared" si="380"/>
        <v>1.0751075390536562</v>
      </c>
      <c r="Q272" s="224">
        <f t="shared" si="381"/>
        <v>6.3</v>
      </c>
      <c r="R272" s="224"/>
      <c r="S272" s="179">
        <f t="shared" si="382"/>
        <v>557.60048943305685</v>
      </c>
      <c r="T272" s="179">
        <f t="shared" si="383"/>
        <v>6.3</v>
      </c>
      <c r="U272" s="224">
        <f t="shared" si="384"/>
        <v>7.5527328244274827E-2</v>
      </c>
      <c r="V272" s="224">
        <f t="shared" si="385"/>
        <v>8.3080061068702304E-2</v>
      </c>
      <c r="W272" s="224">
        <f t="shared" si="386"/>
        <v>0.3170994697278714</v>
      </c>
      <c r="X272" s="204">
        <f t="shared" si="387"/>
        <v>350</v>
      </c>
      <c r="Y272" s="455">
        <f t="shared" si="354"/>
        <v>350</v>
      </c>
      <c r="AA272" s="224">
        <f t="shared" si="388"/>
        <v>0.539238891061395</v>
      </c>
      <c r="AB272" s="180">
        <f t="shared" si="389"/>
        <v>2.2639800769753222</v>
      </c>
      <c r="AC272" s="180">
        <f t="shared" si="390"/>
        <v>0.42728913713264249</v>
      </c>
      <c r="AD272" s="180"/>
      <c r="AE272" s="180">
        <f t="shared" si="391"/>
        <v>1.217557251908397</v>
      </c>
      <c r="AF272" s="564">
        <f t="shared" si="392"/>
        <v>158.59907037077073</v>
      </c>
      <c r="AG272" s="547">
        <f t="shared" si="393"/>
        <v>0.1235820610687023</v>
      </c>
      <c r="AI272" s="180">
        <f t="shared" si="394"/>
        <v>0.19521549863955709</v>
      </c>
      <c r="AJ272" s="180">
        <f t="shared" si="395"/>
        <v>0.28999999999999998</v>
      </c>
      <c r="AK272" s="180">
        <f t="shared" si="396"/>
        <v>1.0906280402118691</v>
      </c>
      <c r="AM272" s="564">
        <f t="shared" si="397"/>
        <v>56.000000000000007</v>
      </c>
      <c r="AN272" s="473">
        <f t="shared" si="398"/>
        <v>158.59907037077073</v>
      </c>
      <c r="AP272">
        <f t="shared" si="399"/>
        <v>56.000000000000007</v>
      </c>
      <c r="AQ272">
        <f t="shared" si="400"/>
        <v>158.59907037077073</v>
      </c>
      <c r="AS272" s="5">
        <f t="shared" si="406"/>
        <v>6.3052071973827699</v>
      </c>
      <c r="AT272" s="5">
        <f t="shared" si="401"/>
        <v>0.31900000000000001</v>
      </c>
      <c r="AU272" s="5">
        <f t="shared" si="372"/>
        <v>5.98620719738277</v>
      </c>
      <c r="AV272" s="5"/>
      <c r="AW272" s="180">
        <f t="shared" si="373"/>
        <v>5.0593103448275861E-2</v>
      </c>
      <c r="AX272" s="180"/>
      <c r="CB272" s="582">
        <f t="shared" si="402"/>
        <v>-50</v>
      </c>
      <c r="CC272">
        <f t="shared" si="403"/>
        <v>-50</v>
      </c>
    </row>
    <row r="273" spans="5:81" x14ac:dyDescent="0.25">
      <c r="E273" s="177">
        <v>57</v>
      </c>
      <c r="F273" s="224">
        <f t="shared" si="404"/>
        <v>5.6999999999999995E-2</v>
      </c>
      <c r="G273" s="224"/>
      <c r="H273" s="224">
        <f t="shared" si="374"/>
        <v>0.35909999999999997</v>
      </c>
      <c r="I273" s="560">
        <f t="shared" si="375"/>
        <v>50</v>
      </c>
      <c r="J273" s="455">
        <f t="shared" si="376"/>
        <v>13.1</v>
      </c>
      <c r="K273" s="455">
        <f t="shared" si="377"/>
        <v>63.1</v>
      </c>
      <c r="L273" s="455"/>
      <c r="M273" s="224">
        <f t="shared" si="378"/>
        <v>0.20760697305863707</v>
      </c>
      <c r="N273" s="179">
        <f t="shared" si="379"/>
        <v>6.7731774960380342</v>
      </c>
      <c r="O273" s="179">
        <f t="shared" si="405"/>
        <v>0.35909999999999997</v>
      </c>
      <c r="P273" s="224">
        <f t="shared" si="380"/>
        <v>1.0751075390536562</v>
      </c>
      <c r="Q273" s="224">
        <f t="shared" si="381"/>
        <v>6.3</v>
      </c>
      <c r="R273" s="224"/>
      <c r="S273" s="179">
        <f t="shared" si="382"/>
        <v>547.37983387131578</v>
      </c>
      <c r="T273" s="179">
        <f t="shared" si="383"/>
        <v>6.3</v>
      </c>
      <c r="U273" s="224">
        <f t="shared" si="384"/>
        <v>7.6876030534351145E-2</v>
      </c>
      <c r="V273" s="224">
        <f t="shared" si="385"/>
        <v>8.4563633587786263E-2</v>
      </c>
      <c r="W273" s="224">
        <f t="shared" si="386"/>
        <v>0.32276196025872617</v>
      </c>
      <c r="X273" s="204">
        <f t="shared" si="387"/>
        <v>350</v>
      </c>
      <c r="Y273" s="455">
        <f t="shared" si="354"/>
        <v>350</v>
      </c>
      <c r="AA273" s="224">
        <f t="shared" si="388"/>
        <v>0.539238891061395</v>
      </c>
      <c r="AB273" s="180">
        <f t="shared" si="389"/>
        <v>2.2639800769753222</v>
      </c>
      <c r="AC273" s="180">
        <f t="shared" si="390"/>
        <v>0.42728913713264249</v>
      </c>
      <c r="AD273" s="180"/>
      <c r="AE273" s="180">
        <f t="shared" si="391"/>
        <v>1.217557251908397</v>
      </c>
      <c r="AF273" s="564">
        <f t="shared" si="392"/>
        <v>161.43119662739159</v>
      </c>
      <c r="AG273" s="547">
        <f t="shared" si="393"/>
        <v>0.1235820610687023</v>
      </c>
      <c r="AI273" s="180">
        <f t="shared" si="394"/>
        <v>0.1969507816425474</v>
      </c>
      <c r="AJ273" s="180">
        <f t="shared" si="395"/>
        <v>0.28999999999999998</v>
      </c>
      <c r="AK273" s="180">
        <f t="shared" si="396"/>
        <v>1.0922463980727952</v>
      </c>
      <c r="AM273" s="564">
        <f t="shared" si="397"/>
        <v>56.999999999999993</v>
      </c>
      <c r="AN273" s="473">
        <f t="shared" si="398"/>
        <v>161.43119662739159</v>
      </c>
      <c r="AP273">
        <f t="shared" si="399"/>
        <v>56.999999999999993</v>
      </c>
      <c r="AQ273">
        <f t="shared" si="400"/>
        <v>161.43119662739159</v>
      </c>
      <c r="AS273" s="5">
        <f t="shared" si="406"/>
        <v>6.1945895272532496</v>
      </c>
      <c r="AT273" s="5">
        <f t="shared" si="401"/>
        <v>0.31900000000000001</v>
      </c>
      <c r="AU273" s="5">
        <f t="shared" si="372"/>
        <v>5.8755895272532497</v>
      </c>
      <c r="AV273" s="5"/>
      <c r="AW273" s="180">
        <f t="shared" si="373"/>
        <v>5.1496551724137918E-2</v>
      </c>
      <c r="AX273" s="180"/>
      <c r="CB273" s="582">
        <f t="shared" si="402"/>
        <v>-50</v>
      </c>
      <c r="CC273">
        <f t="shared" si="403"/>
        <v>-50</v>
      </c>
    </row>
    <row r="274" spans="5:81" x14ac:dyDescent="0.25">
      <c r="E274" s="177">
        <v>58</v>
      </c>
      <c r="F274" s="224">
        <f t="shared" si="404"/>
        <v>5.7999999999999996E-2</v>
      </c>
      <c r="G274" s="224"/>
      <c r="H274" s="224">
        <f t="shared" si="374"/>
        <v>0.36539999999999995</v>
      </c>
      <c r="I274" s="560">
        <f t="shared" si="375"/>
        <v>50</v>
      </c>
      <c r="J274" s="455">
        <f t="shared" si="376"/>
        <v>13.1</v>
      </c>
      <c r="K274" s="455">
        <f t="shared" si="377"/>
        <v>63.1</v>
      </c>
      <c r="L274" s="455"/>
      <c r="M274" s="224">
        <f t="shared" si="378"/>
        <v>0.20760697305863707</v>
      </c>
      <c r="N274" s="179">
        <f t="shared" si="379"/>
        <v>6.7731774960380342</v>
      </c>
      <c r="O274" s="179">
        <f t="shared" si="405"/>
        <v>0.36539999999999995</v>
      </c>
      <c r="P274" s="224">
        <f t="shared" si="380"/>
        <v>1.0751075390536562</v>
      </c>
      <c r="Q274" s="224">
        <f t="shared" si="381"/>
        <v>6.3</v>
      </c>
      <c r="R274" s="224"/>
      <c r="S274" s="179">
        <f t="shared" si="382"/>
        <v>537.51162224997347</v>
      </c>
      <c r="T274" s="179">
        <f t="shared" si="383"/>
        <v>6.3</v>
      </c>
      <c r="U274" s="224">
        <f t="shared" si="384"/>
        <v>7.8224732824427476E-2</v>
      </c>
      <c r="V274" s="224">
        <f t="shared" si="385"/>
        <v>8.6047206106870236E-2</v>
      </c>
      <c r="W274" s="224">
        <f t="shared" si="386"/>
        <v>0.32842445078958105</v>
      </c>
      <c r="X274" s="204">
        <f t="shared" si="387"/>
        <v>350</v>
      </c>
      <c r="Y274" s="455">
        <f t="shared" si="354"/>
        <v>350</v>
      </c>
      <c r="AA274" s="224">
        <f t="shared" si="388"/>
        <v>0.539238891061395</v>
      </c>
      <c r="AB274" s="180">
        <f t="shared" si="389"/>
        <v>2.2639800769753222</v>
      </c>
      <c r="AC274" s="180">
        <f t="shared" si="390"/>
        <v>0.42728913713264249</v>
      </c>
      <c r="AD274" s="180"/>
      <c r="AE274" s="180">
        <f t="shared" si="391"/>
        <v>1.217557251908397</v>
      </c>
      <c r="AF274" s="564">
        <f t="shared" si="392"/>
        <v>164.2633228840125</v>
      </c>
      <c r="AG274" s="547">
        <f t="shared" si="393"/>
        <v>0.1235820610687023</v>
      </c>
      <c r="AI274" s="180">
        <f t="shared" si="394"/>
        <v>0.19867090846455066</v>
      </c>
      <c r="AJ274" s="180">
        <f t="shared" si="395"/>
        <v>0.28999999999999998</v>
      </c>
      <c r="AK274" s="180">
        <f t="shared" si="396"/>
        <v>1.0938647559337213</v>
      </c>
      <c r="AM274" s="564">
        <f t="shared" si="397"/>
        <v>57.999999999999993</v>
      </c>
      <c r="AN274" s="473">
        <f t="shared" si="398"/>
        <v>164.2633228840125</v>
      </c>
      <c r="AP274">
        <f t="shared" si="399"/>
        <v>57.999999999999993</v>
      </c>
      <c r="AQ274">
        <f t="shared" si="400"/>
        <v>164.2633228840125</v>
      </c>
      <c r="AS274" s="5">
        <f t="shared" si="406"/>
        <v>6.0877862595419865</v>
      </c>
      <c r="AT274" s="5">
        <f t="shared" si="401"/>
        <v>0.31900000000000001</v>
      </c>
      <c r="AU274" s="5">
        <f t="shared" si="372"/>
        <v>5.7687862595419865</v>
      </c>
      <c r="AV274" s="5"/>
      <c r="AW274" s="180">
        <f t="shared" si="373"/>
        <v>5.2399999999999988E-2</v>
      </c>
      <c r="AX274" s="180"/>
      <c r="CB274" s="582">
        <f t="shared" si="402"/>
        <v>-50</v>
      </c>
      <c r="CC274">
        <f t="shared" si="403"/>
        <v>-50</v>
      </c>
    </row>
    <row r="275" spans="5:81" x14ac:dyDescent="0.25">
      <c r="E275" s="177">
        <v>59</v>
      </c>
      <c r="F275" s="224">
        <f t="shared" si="404"/>
        <v>5.8999999999999997E-2</v>
      </c>
      <c r="G275" s="224"/>
      <c r="H275" s="224">
        <f t="shared" si="374"/>
        <v>0.37169999999999997</v>
      </c>
      <c r="I275" s="560">
        <f t="shared" si="375"/>
        <v>50</v>
      </c>
      <c r="J275" s="455">
        <f t="shared" si="376"/>
        <v>13.1</v>
      </c>
      <c r="K275" s="455">
        <f t="shared" si="377"/>
        <v>63.1</v>
      </c>
      <c r="L275" s="455"/>
      <c r="M275" s="224">
        <f t="shared" si="378"/>
        <v>0.20760697305863707</v>
      </c>
      <c r="N275" s="179">
        <f t="shared" si="379"/>
        <v>6.7731774960380342</v>
      </c>
      <c r="O275" s="179">
        <f t="shared" si="405"/>
        <v>0.37169999999999997</v>
      </c>
      <c r="P275" s="224">
        <f t="shared" si="380"/>
        <v>1.0751075390536562</v>
      </c>
      <c r="Q275" s="224">
        <f t="shared" si="381"/>
        <v>6.3</v>
      </c>
      <c r="R275" s="224"/>
      <c r="S275" s="179">
        <f t="shared" si="382"/>
        <v>527.97793370833449</v>
      </c>
      <c r="T275" s="179">
        <f t="shared" si="383"/>
        <v>6.3</v>
      </c>
      <c r="U275" s="224">
        <f t="shared" si="384"/>
        <v>7.9573435114503821E-2</v>
      </c>
      <c r="V275" s="224">
        <f t="shared" si="385"/>
        <v>8.7530778625954209E-2</v>
      </c>
      <c r="W275" s="224">
        <f t="shared" si="386"/>
        <v>0.33408694132043593</v>
      </c>
      <c r="X275" s="204">
        <f t="shared" si="387"/>
        <v>350</v>
      </c>
      <c r="Y275" s="455">
        <f t="shared" si="354"/>
        <v>350</v>
      </c>
      <c r="AA275" s="224">
        <f t="shared" si="388"/>
        <v>0.539238891061395</v>
      </c>
      <c r="AB275" s="180">
        <f t="shared" si="389"/>
        <v>2.2639800769753222</v>
      </c>
      <c r="AC275" s="180">
        <f t="shared" si="390"/>
        <v>0.42728913713264249</v>
      </c>
      <c r="AD275" s="180"/>
      <c r="AE275" s="180">
        <f t="shared" si="391"/>
        <v>1.217557251908397</v>
      </c>
      <c r="AF275" s="564">
        <f t="shared" si="392"/>
        <v>167.09544914063341</v>
      </c>
      <c r="AG275" s="547">
        <f t="shared" si="393"/>
        <v>0.1235820610687023</v>
      </c>
      <c r="AI275" s="180">
        <f t="shared" si="394"/>
        <v>0.20037626942991366</v>
      </c>
      <c r="AJ275" s="180">
        <f t="shared" si="395"/>
        <v>0.28999999999999998</v>
      </c>
      <c r="AK275" s="180">
        <f t="shared" si="396"/>
        <v>1.0954831137946477</v>
      </c>
      <c r="AM275" s="564">
        <f t="shared" si="397"/>
        <v>59</v>
      </c>
      <c r="AN275" s="473">
        <f t="shared" si="398"/>
        <v>167.09544914063341</v>
      </c>
      <c r="AP275">
        <f t="shared" si="399"/>
        <v>59</v>
      </c>
      <c r="AQ275">
        <f t="shared" si="400"/>
        <v>167.09544914063341</v>
      </c>
      <c r="AS275" s="5">
        <f t="shared" si="406"/>
        <v>5.9846034415836469</v>
      </c>
      <c r="AT275" s="5">
        <f t="shared" si="401"/>
        <v>0.31900000000000001</v>
      </c>
      <c r="AU275" s="5">
        <f t="shared" si="372"/>
        <v>5.6656034415836469</v>
      </c>
      <c r="AV275" s="5"/>
      <c r="AW275" s="180">
        <f t="shared" si="373"/>
        <v>5.3303448275862066E-2</v>
      </c>
      <c r="AX275" s="180"/>
      <c r="CB275" s="582">
        <f t="shared" si="402"/>
        <v>-50</v>
      </c>
      <c r="CC275">
        <f t="shared" si="403"/>
        <v>-50</v>
      </c>
    </row>
    <row r="276" spans="5:81" x14ac:dyDescent="0.25">
      <c r="E276" s="177">
        <v>60</v>
      </c>
      <c r="F276" s="224">
        <f t="shared" si="404"/>
        <v>0.06</v>
      </c>
      <c r="G276" s="224"/>
      <c r="H276" s="224">
        <f t="shared" si="374"/>
        <v>0.378</v>
      </c>
      <c r="I276" s="560">
        <f t="shared" si="375"/>
        <v>50</v>
      </c>
      <c r="J276" s="455">
        <f t="shared" si="376"/>
        <v>13.1</v>
      </c>
      <c r="K276" s="455">
        <f t="shared" si="377"/>
        <v>63.1</v>
      </c>
      <c r="L276" s="455"/>
      <c r="M276" s="224">
        <f t="shared" si="378"/>
        <v>0.20760697305863707</v>
      </c>
      <c r="N276" s="179">
        <f t="shared" si="379"/>
        <v>6.7731774960380342</v>
      </c>
      <c r="O276" s="179">
        <f t="shared" si="405"/>
        <v>0.378</v>
      </c>
      <c r="P276" s="224">
        <f t="shared" si="380"/>
        <v>1.0751075390536562</v>
      </c>
      <c r="Q276" s="224">
        <f t="shared" si="381"/>
        <v>6.3</v>
      </c>
      <c r="R276" s="224"/>
      <c r="S276" s="179">
        <f t="shared" si="382"/>
        <v>518.76204210980268</v>
      </c>
      <c r="T276" s="179">
        <f t="shared" si="383"/>
        <v>6.3</v>
      </c>
      <c r="U276" s="224">
        <f t="shared" si="384"/>
        <v>8.0922137404580166E-2</v>
      </c>
      <c r="V276" s="224">
        <f t="shared" si="385"/>
        <v>8.9014351145038181E-2</v>
      </c>
      <c r="W276" s="224">
        <f t="shared" si="386"/>
        <v>0.33974943185129081</v>
      </c>
      <c r="X276" s="204">
        <f t="shared" si="387"/>
        <v>350</v>
      </c>
      <c r="Y276" s="455">
        <f t="shared" ref="Y276:Y316" si="407">MIN(1/(V276+W276)*1000, 350)</f>
        <v>350</v>
      </c>
      <c r="AA276" s="224">
        <f t="shared" si="388"/>
        <v>0.539238891061395</v>
      </c>
      <c r="AB276" s="180">
        <f t="shared" si="389"/>
        <v>2.2639800769753222</v>
      </c>
      <c r="AC276" s="180">
        <f t="shared" si="390"/>
        <v>0.42728913713264249</v>
      </c>
      <c r="AD276" s="180"/>
      <c r="AE276" s="180">
        <f t="shared" si="391"/>
        <v>1.217557251908397</v>
      </c>
      <c r="AF276" s="564">
        <f t="shared" si="392"/>
        <v>169.92757539725432</v>
      </c>
      <c r="AG276" s="547">
        <f t="shared" si="393"/>
        <v>0.1235820610687023</v>
      </c>
      <c r="AI276" s="180">
        <f t="shared" si="394"/>
        <v>0.20206723839150378</v>
      </c>
      <c r="AJ276" s="180">
        <f t="shared" si="395"/>
        <v>0.28999999999999998</v>
      </c>
      <c r="AK276" s="180">
        <f t="shared" si="396"/>
        <v>1.0971014716555738</v>
      </c>
      <c r="AM276" s="564">
        <f t="shared" si="397"/>
        <v>60</v>
      </c>
      <c r="AN276" s="473">
        <f t="shared" si="398"/>
        <v>169.92757539725432</v>
      </c>
      <c r="AP276">
        <f t="shared" si="399"/>
        <v>60</v>
      </c>
      <c r="AQ276">
        <f t="shared" si="400"/>
        <v>169.92757539725432</v>
      </c>
      <c r="AS276" s="5">
        <f t="shared" si="406"/>
        <v>5.8848600508905866</v>
      </c>
      <c r="AT276" s="5">
        <f t="shared" si="401"/>
        <v>0.31900000000000001</v>
      </c>
      <c r="AU276" s="5">
        <f t="shared" si="372"/>
        <v>5.5658600508905867</v>
      </c>
      <c r="AV276" s="5"/>
      <c r="AW276" s="180">
        <f t="shared" si="373"/>
        <v>5.4206896551724129E-2</v>
      </c>
      <c r="AX276" s="180"/>
      <c r="CB276" s="582">
        <f t="shared" si="402"/>
        <v>-50</v>
      </c>
      <c r="CC276">
        <f t="shared" si="403"/>
        <v>-50</v>
      </c>
    </row>
    <row r="277" spans="5:81" x14ac:dyDescent="0.25">
      <c r="E277" s="177">
        <v>61</v>
      </c>
      <c r="F277" s="224">
        <f t="shared" si="404"/>
        <v>6.0999999999999999E-2</v>
      </c>
      <c r="G277" s="224"/>
      <c r="H277" s="224">
        <f t="shared" si="374"/>
        <v>0.38429999999999997</v>
      </c>
      <c r="I277" s="560">
        <f t="shared" si="375"/>
        <v>50</v>
      </c>
      <c r="J277" s="455">
        <f t="shared" si="376"/>
        <v>13.1</v>
      </c>
      <c r="K277" s="455">
        <f t="shared" si="377"/>
        <v>63.1</v>
      </c>
      <c r="L277" s="455"/>
      <c r="M277" s="224">
        <f t="shared" si="378"/>
        <v>0.20760697305863707</v>
      </c>
      <c r="N277" s="179">
        <f t="shared" si="379"/>
        <v>6.7731774960380342</v>
      </c>
      <c r="O277" s="179">
        <f t="shared" si="405"/>
        <v>0.38429999999999997</v>
      </c>
      <c r="P277" s="224">
        <f t="shared" si="380"/>
        <v>1.0751075390536562</v>
      </c>
      <c r="Q277" s="224">
        <f t="shared" si="381"/>
        <v>6.3</v>
      </c>
      <c r="R277" s="224"/>
      <c r="S277" s="179">
        <f t="shared" si="382"/>
        <v>509.84831811367911</v>
      </c>
      <c r="T277" s="179">
        <f t="shared" si="383"/>
        <v>6.3</v>
      </c>
      <c r="U277" s="224">
        <f t="shared" si="384"/>
        <v>8.2270839694656497E-2</v>
      </c>
      <c r="V277" s="224">
        <f t="shared" si="385"/>
        <v>9.0497923664122154E-2</v>
      </c>
      <c r="W277" s="224">
        <f t="shared" si="386"/>
        <v>0.34541192238214563</v>
      </c>
      <c r="X277" s="204">
        <f t="shared" si="387"/>
        <v>350</v>
      </c>
      <c r="Y277" s="455">
        <f t="shared" si="407"/>
        <v>350</v>
      </c>
      <c r="AA277" s="224">
        <f t="shared" si="388"/>
        <v>0.539238891061395</v>
      </c>
      <c r="AB277" s="180">
        <f t="shared" si="389"/>
        <v>2.2639800769753222</v>
      </c>
      <c r="AC277" s="180">
        <f t="shared" si="390"/>
        <v>0.42728913713264249</v>
      </c>
      <c r="AD277" s="180"/>
      <c r="AE277" s="180">
        <f t="shared" si="391"/>
        <v>1.217557251908397</v>
      </c>
      <c r="AF277" s="564">
        <f t="shared" si="392"/>
        <v>172.75970165387523</v>
      </c>
      <c r="AG277" s="547">
        <f t="shared" si="393"/>
        <v>0.1235820610687023</v>
      </c>
      <c r="AI277" s="180">
        <f t="shared" si="394"/>
        <v>0.20374417368771139</v>
      </c>
      <c r="AJ277" s="180">
        <f t="shared" si="395"/>
        <v>0.28999999999999998</v>
      </c>
      <c r="AK277" s="180">
        <f t="shared" si="396"/>
        <v>1.0987198295165002</v>
      </c>
      <c r="AM277" s="564">
        <f t="shared" si="397"/>
        <v>61</v>
      </c>
      <c r="AN277" s="473">
        <f t="shared" si="398"/>
        <v>172.75970165387523</v>
      </c>
      <c r="AP277">
        <f t="shared" si="399"/>
        <v>61</v>
      </c>
      <c r="AQ277">
        <f t="shared" si="400"/>
        <v>172.75970165387523</v>
      </c>
      <c r="AS277" s="5">
        <f t="shared" si="406"/>
        <v>5.7883869353022162</v>
      </c>
      <c r="AT277" s="5">
        <f t="shared" si="401"/>
        <v>0.31900000000000001</v>
      </c>
      <c r="AU277" s="5">
        <f t="shared" si="372"/>
        <v>5.4693869353022162</v>
      </c>
      <c r="AV277" s="5"/>
      <c r="AW277" s="180">
        <f t="shared" si="373"/>
        <v>5.51103448275862E-2</v>
      </c>
      <c r="AX277" s="180"/>
      <c r="CB277" s="582">
        <f t="shared" si="402"/>
        <v>-50</v>
      </c>
      <c r="CC277">
        <f t="shared" si="403"/>
        <v>-50</v>
      </c>
    </row>
    <row r="278" spans="5:81" x14ac:dyDescent="0.25">
      <c r="E278" s="177">
        <v>62</v>
      </c>
      <c r="F278" s="224">
        <f t="shared" si="404"/>
        <v>6.2E-2</v>
      </c>
      <c r="G278" s="224"/>
      <c r="H278" s="224">
        <f t="shared" si="374"/>
        <v>0.3906</v>
      </c>
      <c r="I278" s="560">
        <f t="shared" si="375"/>
        <v>50</v>
      </c>
      <c r="J278" s="455">
        <f t="shared" si="376"/>
        <v>13.1</v>
      </c>
      <c r="K278" s="455">
        <f t="shared" si="377"/>
        <v>63.1</v>
      </c>
      <c r="L278" s="455"/>
      <c r="M278" s="224">
        <f t="shared" si="378"/>
        <v>0.20760697305863707</v>
      </c>
      <c r="N278" s="179">
        <f t="shared" si="379"/>
        <v>6.7731774960380342</v>
      </c>
      <c r="O278" s="179">
        <f t="shared" si="405"/>
        <v>0.3906</v>
      </c>
      <c r="P278" s="224">
        <f t="shared" si="380"/>
        <v>1.0751075390536562</v>
      </c>
      <c r="Q278" s="224">
        <f t="shared" si="381"/>
        <v>6.3</v>
      </c>
      <c r="R278" s="224"/>
      <c r="S278" s="179">
        <f t="shared" si="382"/>
        <v>501.22214072387851</v>
      </c>
      <c r="T278" s="179">
        <f t="shared" si="383"/>
        <v>6.3</v>
      </c>
      <c r="U278" s="224">
        <f t="shared" si="384"/>
        <v>8.3619541984732829E-2</v>
      </c>
      <c r="V278" s="224">
        <f t="shared" si="385"/>
        <v>9.1981496183206113E-2</v>
      </c>
      <c r="W278" s="224">
        <f t="shared" si="386"/>
        <v>0.3510744129130004</v>
      </c>
      <c r="X278" s="204">
        <f t="shared" si="387"/>
        <v>350</v>
      </c>
      <c r="Y278" s="455">
        <f t="shared" si="407"/>
        <v>350</v>
      </c>
      <c r="AA278" s="224">
        <f t="shared" si="388"/>
        <v>0.539238891061395</v>
      </c>
      <c r="AB278" s="180">
        <f t="shared" si="389"/>
        <v>2.2639800769753222</v>
      </c>
      <c r="AC278" s="180">
        <f t="shared" si="390"/>
        <v>0.42728913713264249</v>
      </c>
      <c r="AD278" s="180"/>
      <c r="AE278" s="180">
        <f t="shared" si="391"/>
        <v>1.217557251908397</v>
      </c>
      <c r="AF278" s="564">
        <f t="shared" si="392"/>
        <v>175.59182791049614</v>
      </c>
      <c r="AG278" s="547">
        <f t="shared" si="393"/>
        <v>0.1235820610687023</v>
      </c>
      <c r="AI278" s="180">
        <f t="shared" si="394"/>
        <v>0.20540741902912804</v>
      </c>
      <c r="AJ278" s="180">
        <f t="shared" si="395"/>
        <v>0.28999999999999998</v>
      </c>
      <c r="AK278" s="180">
        <f t="shared" si="396"/>
        <v>1.1003381873774263</v>
      </c>
      <c r="AM278" s="564">
        <f t="shared" si="397"/>
        <v>62</v>
      </c>
      <c r="AN278" s="473">
        <f t="shared" si="398"/>
        <v>175.59182791049614</v>
      </c>
      <c r="AP278">
        <f t="shared" si="399"/>
        <v>62</v>
      </c>
      <c r="AQ278">
        <f t="shared" si="400"/>
        <v>175.59182791049614</v>
      </c>
      <c r="AS278" s="5">
        <f t="shared" si="406"/>
        <v>5.6950258557005675</v>
      </c>
      <c r="AT278" s="5">
        <f t="shared" si="401"/>
        <v>0.31900000000000001</v>
      </c>
      <c r="AU278" s="5">
        <f t="shared" si="372"/>
        <v>5.3760258557005676</v>
      </c>
      <c r="AV278" s="5"/>
      <c r="AW278" s="180">
        <f t="shared" si="373"/>
        <v>5.6013793103448263E-2</v>
      </c>
      <c r="AX278" s="180"/>
      <c r="CB278" s="582">
        <f t="shared" si="402"/>
        <v>-50</v>
      </c>
      <c r="CC278">
        <f t="shared" si="403"/>
        <v>-50</v>
      </c>
    </row>
    <row r="279" spans="5:81" x14ac:dyDescent="0.25">
      <c r="E279" s="177">
        <v>63</v>
      </c>
      <c r="F279" s="224">
        <f t="shared" si="404"/>
        <v>6.3E-2</v>
      </c>
      <c r="G279" s="224"/>
      <c r="H279" s="224">
        <f t="shared" si="374"/>
        <v>0.39689999999999998</v>
      </c>
      <c r="I279" s="560">
        <f t="shared" si="375"/>
        <v>50</v>
      </c>
      <c r="J279" s="455">
        <f t="shared" si="376"/>
        <v>13.1</v>
      </c>
      <c r="K279" s="455">
        <f t="shared" si="377"/>
        <v>63.1</v>
      </c>
      <c r="L279" s="455"/>
      <c r="M279" s="224">
        <f t="shared" si="378"/>
        <v>0.20760697305863707</v>
      </c>
      <c r="N279" s="179">
        <f t="shared" si="379"/>
        <v>6.7731774960380342</v>
      </c>
      <c r="O279" s="179">
        <f t="shared" si="405"/>
        <v>0.39689999999999998</v>
      </c>
      <c r="P279" s="224">
        <f t="shared" si="380"/>
        <v>1.0751075390536562</v>
      </c>
      <c r="Q279" s="224">
        <f t="shared" si="381"/>
        <v>6.3</v>
      </c>
      <c r="R279" s="224"/>
      <c r="S279" s="179">
        <f t="shared" si="382"/>
        <v>492.86981726158018</v>
      </c>
      <c r="T279" s="179">
        <f t="shared" si="383"/>
        <v>6.3</v>
      </c>
      <c r="U279" s="224">
        <f t="shared" si="384"/>
        <v>8.496824427480916E-2</v>
      </c>
      <c r="V279" s="224">
        <f t="shared" si="385"/>
        <v>9.3465068702290086E-2</v>
      </c>
      <c r="W279" s="224">
        <f t="shared" si="386"/>
        <v>0.35673690344385528</v>
      </c>
      <c r="X279" s="204">
        <f t="shared" si="387"/>
        <v>350</v>
      </c>
      <c r="Y279" s="455">
        <f t="shared" si="407"/>
        <v>350</v>
      </c>
      <c r="AA279" s="224">
        <f t="shared" si="388"/>
        <v>0.539238891061395</v>
      </c>
      <c r="AB279" s="180">
        <f t="shared" si="389"/>
        <v>2.2639800769753222</v>
      </c>
      <c r="AC279" s="180">
        <f t="shared" si="390"/>
        <v>0.42728913713264249</v>
      </c>
      <c r="AD279" s="180"/>
      <c r="AE279" s="180">
        <f t="shared" si="391"/>
        <v>1.217557251908397</v>
      </c>
      <c r="AF279" s="564">
        <f t="shared" si="392"/>
        <v>178.42395416711705</v>
      </c>
      <c r="AG279" s="547">
        <f t="shared" si="393"/>
        <v>0.1235820610687023</v>
      </c>
      <c r="AI279" s="180">
        <f t="shared" si="394"/>
        <v>0.20705730432111608</v>
      </c>
      <c r="AJ279" s="180">
        <f t="shared" si="395"/>
        <v>0.28999999999999998</v>
      </c>
      <c r="AK279" s="180">
        <f t="shared" si="396"/>
        <v>1.1019565452383526</v>
      </c>
      <c r="AM279" s="564">
        <f t="shared" si="397"/>
        <v>63</v>
      </c>
      <c r="AN279" s="473">
        <f t="shared" si="398"/>
        <v>178.42395416711705</v>
      </c>
      <c r="AP279">
        <f t="shared" si="399"/>
        <v>63</v>
      </c>
      <c r="AQ279">
        <f t="shared" si="400"/>
        <v>178.42395416711705</v>
      </c>
      <c r="AS279" s="5">
        <f t="shared" si="406"/>
        <v>5.6046286198957969</v>
      </c>
      <c r="AT279" s="5">
        <f t="shared" si="401"/>
        <v>0.31900000000000001</v>
      </c>
      <c r="AU279" s="5">
        <f t="shared" si="372"/>
        <v>5.2856286198957969</v>
      </c>
      <c r="AV279" s="5"/>
      <c r="AW279" s="180">
        <f t="shared" si="373"/>
        <v>5.6917241379310334E-2</v>
      </c>
      <c r="AX279" s="180"/>
      <c r="CB279" s="582">
        <f t="shared" si="402"/>
        <v>-50</v>
      </c>
      <c r="CC279">
        <f t="shared" si="403"/>
        <v>-50</v>
      </c>
    </row>
    <row r="280" spans="5:81" x14ac:dyDescent="0.25">
      <c r="E280" s="177">
        <v>64</v>
      </c>
      <c r="F280" s="224">
        <f t="shared" si="404"/>
        <v>6.4000000000000001E-2</v>
      </c>
      <c r="G280" s="224"/>
      <c r="H280" s="224">
        <f t="shared" ref="H280:H311" si="408">F280*Vout</f>
        <v>0.4032</v>
      </c>
      <c r="I280" s="560">
        <f t="shared" ref="I280:I316" si="409">VIN_max</f>
        <v>50</v>
      </c>
      <c r="J280" s="455">
        <f t="shared" ref="J280:J316" si="410">(T280+Vfwd1)*Nps</f>
        <v>13.1</v>
      </c>
      <c r="K280" s="455">
        <f t="shared" ref="K280:K316" si="411">(Vout+Vfwd1)*Nps+I280</f>
        <v>63.1</v>
      </c>
      <c r="L280" s="455"/>
      <c r="M280" s="224">
        <f t="shared" ref="M280:M316" si="412">(Vout+Vfwd1)*Nps/((Vout+Vfwd1)*Nps+I280)</f>
        <v>0.20760697305863707</v>
      </c>
      <c r="N280" s="179">
        <f t="shared" ref="N280:N311" si="413">M280*I280*Isw_max*0.5*Efficiency</f>
        <v>6.7731774960380342</v>
      </c>
      <c r="O280" s="179">
        <f t="shared" si="405"/>
        <v>0.4032</v>
      </c>
      <c r="P280" s="224">
        <f t="shared" ref="P280:P311" si="414">N280/Vout</f>
        <v>1.0751075390536562</v>
      </c>
      <c r="Q280" s="224">
        <f t="shared" ref="Q280:Q316" si="415">MIN(Vout,N280/F280)</f>
        <v>6.3</v>
      </c>
      <c r="R280" s="224"/>
      <c r="S280" s="179">
        <f t="shared" ref="S280:S316" si="416">(SQRT(Isw_max^2*Nps^2*I280^2+4*Isw_max*F280/Efficiency*(Nps^2*Vfwd1*I280-Nps*I280^2)+4*(F280/Efficiency)^2*Nps^2*Vfwd1^2+8*(F280/Efficiency)^2*Nps*Vfwd1*I280+4*(F280/Efficiency)^2*I280^2)-2*F280/Efficiency*I280-2*F280/Efficiency*Nps*Vfwd1+Isw_max*Nps*I280)/(4*F280/Efficiency*Nps)</f>
        <v>484.77851084044096</v>
      </c>
      <c r="T280" s="179">
        <f t="shared" ref="T280:T311" si="417">MIN(Vout, S280)</f>
        <v>6.3</v>
      </c>
      <c r="U280" s="224">
        <f t="shared" ref="U280:U316" si="418">MIN(2*Vout*F280/(Efficiency*I280*M280), Isw_max)</f>
        <v>8.6316946564885505E-2</v>
      </c>
      <c r="V280" s="224">
        <f t="shared" ref="V280:V311" si="419">L*U280/I280*1000000</f>
        <v>9.4948641221374058E-2</v>
      </c>
      <c r="W280" s="224">
        <f t="shared" ref="W280:W316" si="420">L*U280/J280*1000000</f>
        <v>0.3623993939747101</v>
      </c>
      <c r="X280" s="204">
        <f t="shared" ref="X280:X316" si="421">IF(1/((350000*L)*(1/I280+1/J280))&gt;Isw_min, 350, 0.001/((Isw_min*L)*(1/I280+1/J280)))</f>
        <v>350</v>
      </c>
      <c r="Y280" s="455">
        <f t="shared" si="407"/>
        <v>350</v>
      </c>
      <c r="AA280" s="224">
        <f t="shared" ref="AA280:AA316" si="422">1/((X280*1000*L)*(1/I280+1/J280))</f>
        <v>0.539238891061395</v>
      </c>
      <c r="AB280" s="180">
        <f t="shared" ref="AB280:AB311" si="423">L*AA280/J280*1000000</f>
        <v>2.2639800769753222</v>
      </c>
      <c r="AC280" s="180">
        <f t="shared" ref="AC280:AC311" si="424">0.5*AB280*AA280*Nps*X280/1000</f>
        <v>0.42728913713264249</v>
      </c>
      <c r="AD280" s="180"/>
      <c r="AE280" s="180">
        <f t="shared" ref="AE280:AE316" si="425">L*Isw_min/J280*1000000</f>
        <v>1.217557251908397</v>
      </c>
      <c r="AF280" s="564">
        <f t="shared" ref="AF280:AF311" si="426">MAX(10000,F280/(0.5*AE280/1000000*Isw_min*Nps))/1000</f>
        <v>181.25608042373796</v>
      </c>
      <c r="AG280" s="547">
        <f t="shared" ref="AG280:AG316" si="427">0.5*AE280/1000000*Isw_min*Nps*X280*1000</f>
        <v>0.1235820610687023</v>
      </c>
      <c r="AI280" s="180">
        <f t="shared" ref="AI280:AI316" si="428">SQRT(F280/(0.5*L/J280*Fsw_DCM*Nps))</f>
        <v>0.20869414642784484</v>
      </c>
      <c r="AJ280" s="180">
        <f t="shared" ref="AJ280:AJ311" si="429">MAX(IF(F280&gt;AC280,U280,AI280),Isw_min)</f>
        <v>0.28999999999999998</v>
      </c>
      <c r="AK280" s="180">
        <f t="shared" ref="AK280:AK311" si="430">IF(F280&gt;AG280, (AJ280-Isw_min)/1.08*0.8+1.2, AF280*0.2/350+1)</f>
        <v>1.1035749030992787</v>
      </c>
      <c r="AM280" s="564">
        <f t="shared" ref="AM280:AM316" si="431">F280*1000</f>
        <v>64</v>
      </c>
      <c r="AN280" s="473">
        <f t="shared" ref="AN280:AN316" si="432">IF(F280&gt;AG280, Y280, AF280)</f>
        <v>181.25608042373796</v>
      </c>
      <c r="AP280">
        <f t="shared" ref="AP280:AP316" si="433">IF(H280&gt;N280, "",AM280)</f>
        <v>64</v>
      </c>
      <c r="AQ280">
        <f t="shared" ref="AQ280:AQ316" si="434">IF(H280&gt;N280, "",AN280)</f>
        <v>181.25608042373796</v>
      </c>
      <c r="AS280" s="5">
        <f t="shared" si="406"/>
        <v>5.5170562977099245</v>
      </c>
      <c r="AT280" s="5">
        <f t="shared" ref="AT280:AT316" si="435">L*AJ280/I280*1000000</f>
        <v>0.31900000000000001</v>
      </c>
      <c r="AU280" s="5">
        <f t="shared" si="372"/>
        <v>5.1980562977099245</v>
      </c>
      <c r="AV280" s="5"/>
      <c r="AW280" s="180">
        <f t="shared" si="373"/>
        <v>5.7820689655172404E-2</v>
      </c>
      <c r="AX280" s="180"/>
      <c r="CB280" s="582">
        <f t="shared" ref="CB280:CB316" si="436">IF(ABS(F280-Ioutmax_Vinmax)&lt;Iout/200, AN280, -50)</f>
        <v>-50</v>
      </c>
      <c r="CC280">
        <f t="shared" ref="CC280:CC316" si="437">IF(ABS(F280-Ioutmax_Vinmin)&lt;Iout/200, N280*BX280, -50)</f>
        <v>-50</v>
      </c>
    </row>
    <row r="281" spans="5:81" x14ac:dyDescent="0.25">
      <c r="E281" s="177">
        <v>65</v>
      </c>
      <c r="F281" s="224">
        <f t="shared" ref="F281:F312" si="438">IF(PLOT_TYPE=1, E281/100*Iout_max, min_I*EXP(N281*rr/100))</f>
        <v>6.5000000000000002E-2</v>
      </c>
      <c r="G281" s="224"/>
      <c r="H281" s="224">
        <f t="shared" si="408"/>
        <v>0.40949999999999998</v>
      </c>
      <c r="I281" s="560">
        <f t="shared" si="409"/>
        <v>50</v>
      </c>
      <c r="J281" s="455">
        <f t="shared" si="410"/>
        <v>13.1</v>
      </c>
      <c r="K281" s="455">
        <f t="shared" si="411"/>
        <v>63.1</v>
      </c>
      <c r="L281" s="455"/>
      <c r="M281" s="224">
        <f t="shared" si="412"/>
        <v>0.20760697305863707</v>
      </c>
      <c r="N281" s="179">
        <f t="shared" si="413"/>
        <v>6.7731774960380342</v>
      </c>
      <c r="O281" s="179">
        <f t="shared" si="405"/>
        <v>0.40949999999999998</v>
      </c>
      <c r="P281" s="224">
        <f t="shared" si="414"/>
        <v>1.0751075390536562</v>
      </c>
      <c r="Q281" s="224">
        <f t="shared" si="415"/>
        <v>6.3</v>
      </c>
      <c r="R281" s="224"/>
      <c r="S281" s="179">
        <f t="shared" si="416"/>
        <v>476.93617453640587</v>
      </c>
      <c r="T281" s="179">
        <f t="shared" si="417"/>
        <v>6.3</v>
      </c>
      <c r="U281" s="224">
        <f t="shared" si="418"/>
        <v>8.7665648854961836E-2</v>
      </c>
      <c r="V281" s="224">
        <f t="shared" si="419"/>
        <v>9.6432213740458017E-2</v>
      </c>
      <c r="W281" s="224">
        <f t="shared" si="420"/>
        <v>0.36806188450556498</v>
      </c>
      <c r="X281" s="204">
        <f t="shared" si="421"/>
        <v>350</v>
      </c>
      <c r="Y281" s="455">
        <f t="shared" si="407"/>
        <v>350</v>
      </c>
      <c r="AA281" s="224">
        <f t="shared" si="422"/>
        <v>0.539238891061395</v>
      </c>
      <c r="AB281" s="180">
        <f t="shared" si="423"/>
        <v>2.2639800769753222</v>
      </c>
      <c r="AC281" s="180">
        <f t="shared" si="424"/>
        <v>0.42728913713264249</v>
      </c>
      <c r="AD281" s="180"/>
      <c r="AE281" s="180">
        <f t="shared" si="425"/>
        <v>1.217557251908397</v>
      </c>
      <c r="AF281" s="564">
        <f t="shared" si="426"/>
        <v>184.08820668035887</v>
      </c>
      <c r="AG281" s="547">
        <f t="shared" si="427"/>
        <v>0.1235820610687023</v>
      </c>
      <c r="AI281" s="180">
        <f t="shared" si="428"/>
        <v>0.21031824988280554</v>
      </c>
      <c r="AJ281" s="180">
        <f t="shared" si="429"/>
        <v>0.28999999999999998</v>
      </c>
      <c r="AK281" s="180">
        <f t="shared" si="430"/>
        <v>1.1051932609602051</v>
      </c>
      <c r="AM281" s="564">
        <f t="shared" si="431"/>
        <v>65</v>
      </c>
      <c r="AN281" s="473">
        <f t="shared" si="432"/>
        <v>184.08820668035887</v>
      </c>
      <c r="AP281">
        <f t="shared" si="433"/>
        <v>65</v>
      </c>
      <c r="AQ281">
        <f t="shared" si="434"/>
        <v>184.08820668035887</v>
      </c>
      <c r="AS281" s="5">
        <f t="shared" si="406"/>
        <v>5.4321785085143874</v>
      </c>
      <c r="AT281" s="5">
        <f t="shared" si="435"/>
        <v>0.31900000000000001</v>
      </c>
      <c r="AU281" s="5">
        <f t="shared" si="372"/>
        <v>5.1131785085143875</v>
      </c>
      <c r="AV281" s="5"/>
      <c r="AW281" s="180">
        <f t="shared" si="373"/>
        <v>5.8724137931034474E-2</v>
      </c>
      <c r="AX281" s="180"/>
      <c r="CB281" s="582">
        <f t="shared" si="436"/>
        <v>-50</v>
      </c>
      <c r="CC281">
        <f t="shared" si="437"/>
        <v>-50</v>
      </c>
    </row>
    <row r="282" spans="5:81" x14ac:dyDescent="0.25">
      <c r="E282" s="177">
        <v>66</v>
      </c>
      <c r="F282" s="224">
        <f t="shared" si="438"/>
        <v>6.6000000000000003E-2</v>
      </c>
      <c r="G282" s="224"/>
      <c r="H282" s="224">
        <f t="shared" si="408"/>
        <v>0.4158</v>
      </c>
      <c r="I282" s="560">
        <f t="shared" si="409"/>
        <v>50</v>
      </c>
      <c r="J282" s="455">
        <f t="shared" si="410"/>
        <v>13.1</v>
      </c>
      <c r="K282" s="455">
        <f t="shared" si="411"/>
        <v>63.1</v>
      </c>
      <c r="L282" s="455"/>
      <c r="M282" s="224">
        <f t="shared" si="412"/>
        <v>0.20760697305863707</v>
      </c>
      <c r="N282" s="179">
        <f t="shared" si="413"/>
        <v>6.7731774960380342</v>
      </c>
      <c r="O282" s="179">
        <f t="shared" si="405"/>
        <v>0.4158</v>
      </c>
      <c r="P282" s="224">
        <f t="shared" si="414"/>
        <v>1.0751075390536562</v>
      </c>
      <c r="Q282" s="224">
        <f t="shared" si="415"/>
        <v>6.3</v>
      </c>
      <c r="R282" s="224"/>
      <c r="S282" s="179">
        <f t="shared" si="416"/>
        <v>469.33149154207973</v>
      </c>
      <c r="T282" s="179">
        <f t="shared" si="417"/>
        <v>6.3</v>
      </c>
      <c r="U282" s="224">
        <f t="shared" si="418"/>
        <v>8.9014351145038181E-2</v>
      </c>
      <c r="V282" s="224">
        <f t="shared" si="419"/>
        <v>9.791578625954199E-2</v>
      </c>
      <c r="W282" s="224">
        <f t="shared" si="420"/>
        <v>0.37372437503641986</v>
      </c>
      <c r="X282" s="204">
        <f t="shared" si="421"/>
        <v>350</v>
      </c>
      <c r="Y282" s="455">
        <f t="shared" si="407"/>
        <v>350</v>
      </c>
      <c r="AA282" s="224">
        <f t="shared" si="422"/>
        <v>0.539238891061395</v>
      </c>
      <c r="AB282" s="180">
        <f t="shared" si="423"/>
        <v>2.2639800769753222</v>
      </c>
      <c r="AC282" s="180">
        <f t="shared" si="424"/>
        <v>0.42728913713264249</v>
      </c>
      <c r="AD282" s="180"/>
      <c r="AE282" s="180">
        <f t="shared" si="425"/>
        <v>1.217557251908397</v>
      </c>
      <c r="AF282" s="564">
        <f t="shared" si="426"/>
        <v>186.92033293697978</v>
      </c>
      <c r="AG282" s="547">
        <f t="shared" si="427"/>
        <v>0.1235820610687023</v>
      </c>
      <c r="AI282" s="180">
        <f t="shared" si="428"/>
        <v>0.21192990755031654</v>
      </c>
      <c r="AJ282" s="180">
        <f t="shared" si="429"/>
        <v>0.28999999999999998</v>
      </c>
      <c r="AK282" s="180">
        <f t="shared" si="430"/>
        <v>1.1068116188211312</v>
      </c>
      <c r="AM282" s="564">
        <f t="shared" si="431"/>
        <v>66</v>
      </c>
      <c r="AN282" s="473">
        <f t="shared" si="432"/>
        <v>186.92033293697978</v>
      </c>
      <c r="AP282">
        <f t="shared" si="433"/>
        <v>66</v>
      </c>
      <c r="AQ282">
        <f t="shared" si="434"/>
        <v>186.92033293697978</v>
      </c>
      <c r="AS282" s="5">
        <f t="shared" si="406"/>
        <v>5.3498727735368963</v>
      </c>
      <c r="AT282" s="5">
        <f t="shared" si="435"/>
        <v>0.31900000000000001</v>
      </c>
      <c r="AU282" s="5">
        <f t="shared" si="372"/>
        <v>5.0308727735368963</v>
      </c>
      <c r="AV282" s="5"/>
      <c r="AW282" s="180">
        <f t="shared" si="373"/>
        <v>5.9627586206896545E-2</v>
      </c>
      <c r="AX282" s="180"/>
      <c r="CB282" s="582">
        <f t="shared" si="436"/>
        <v>-50</v>
      </c>
      <c r="CC282">
        <f t="shared" si="437"/>
        <v>-50</v>
      </c>
    </row>
    <row r="283" spans="5:81" x14ac:dyDescent="0.25">
      <c r="E283" s="177">
        <v>67</v>
      </c>
      <c r="F283" s="224">
        <f t="shared" si="438"/>
        <v>6.7000000000000004E-2</v>
      </c>
      <c r="G283" s="224"/>
      <c r="H283" s="224">
        <f t="shared" si="408"/>
        <v>0.42210000000000003</v>
      </c>
      <c r="I283" s="560">
        <f t="shared" si="409"/>
        <v>50</v>
      </c>
      <c r="J283" s="455">
        <f t="shared" si="410"/>
        <v>13.1</v>
      </c>
      <c r="K283" s="455">
        <f t="shared" si="411"/>
        <v>63.1</v>
      </c>
      <c r="L283" s="455"/>
      <c r="M283" s="224">
        <f t="shared" si="412"/>
        <v>0.20760697305863707</v>
      </c>
      <c r="N283" s="179">
        <f t="shared" si="413"/>
        <v>6.7731774960380342</v>
      </c>
      <c r="O283" s="179">
        <f t="shared" si="405"/>
        <v>0.42210000000000003</v>
      </c>
      <c r="P283" s="224">
        <f t="shared" si="414"/>
        <v>1.0751075390536562</v>
      </c>
      <c r="Q283" s="224">
        <f t="shared" si="415"/>
        <v>6.3</v>
      </c>
      <c r="R283" s="224"/>
      <c r="S283" s="179">
        <f t="shared" si="416"/>
        <v>461.95382068040959</v>
      </c>
      <c r="T283" s="179">
        <f t="shared" si="417"/>
        <v>6.3</v>
      </c>
      <c r="U283" s="224">
        <f t="shared" si="418"/>
        <v>9.0363053435114513E-2</v>
      </c>
      <c r="V283" s="224">
        <f t="shared" si="419"/>
        <v>9.9399358778625976E-2</v>
      </c>
      <c r="W283" s="224">
        <f t="shared" si="420"/>
        <v>0.37938686556727469</v>
      </c>
      <c r="X283" s="204">
        <f t="shared" si="421"/>
        <v>350</v>
      </c>
      <c r="Y283" s="455">
        <f t="shared" si="407"/>
        <v>350</v>
      </c>
      <c r="AA283" s="224">
        <f t="shared" si="422"/>
        <v>0.539238891061395</v>
      </c>
      <c r="AB283" s="180">
        <f t="shared" si="423"/>
        <v>2.2639800769753222</v>
      </c>
      <c r="AC283" s="180">
        <f t="shared" si="424"/>
        <v>0.42728913713264249</v>
      </c>
      <c r="AD283" s="180"/>
      <c r="AE283" s="180">
        <f t="shared" si="425"/>
        <v>1.217557251908397</v>
      </c>
      <c r="AF283" s="564">
        <f t="shared" si="426"/>
        <v>189.75245919360066</v>
      </c>
      <c r="AG283" s="547">
        <f t="shared" si="427"/>
        <v>0.1235820610687023</v>
      </c>
      <c r="AI283" s="180">
        <f t="shared" si="428"/>
        <v>0.21352940124208936</v>
      </c>
      <c r="AJ283" s="180">
        <f t="shared" si="429"/>
        <v>0.28999999999999998</v>
      </c>
      <c r="AK283" s="180">
        <f t="shared" si="430"/>
        <v>1.1084299766820576</v>
      </c>
      <c r="AM283" s="564">
        <f t="shared" si="431"/>
        <v>67</v>
      </c>
      <c r="AN283" s="473">
        <f t="shared" si="432"/>
        <v>189.75245919360066</v>
      </c>
      <c r="AP283">
        <f t="shared" si="433"/>
        <v>67</v>
      </c>
      <c r="AQ283">
        <f t="shared" si="434"/>
        <v>189.75245919360066</v>
      </c>
      <c r="AS283" s="5">
        <f t="shared" si="406"/>
        <v>5.2700239261706745</v>
      </c>
      <c r="AT283" s="5">
        <f t="shared" si="435"/>
        <v>0.31900000000000001</v>
      </c>
      <c r="AU283" s="5">
        <f t="shared" si="372"/>
        <v>4.9510239261706745</v>
      </c>
      <c r="AV283" s="5"/>
      <c r="AW283" s="180">
        <f t="shared" si="373"/>
        <v>6.0531034482758608E-2</v>
      </c>
      <c r="AX283" s="180"/>
      <c r="CB283" s="582">
        <f t="shared" si="436"/>
        <v>-50</v>
      </c>
      <c r="CC283">
        <f t="shared" si="437"/>
        <v>-50</v>
      </c>
    </row>
    <row r="284" spans="5:81" x14ac:dyDescent="0.25">
      <c r="E284" s="177">
        <v>68</v>
      </c>
      <c r="F284" s="224">
        <f t="shared" si="438"/>
        <v>6.8000000000000005E-2</v>
      </c>
      <c r="G284" s="224"/>
      <c r="H284" s="224">
        <f t="shared" si="408"/>
        <v>0.4284</v>
      </c>
      <c r="I284" s="560">
        <f t="shared" si="409"/>
        <v>50</v>
      </c>
      <c r="J284" s="455">
        <f t="shared" si="410"/>
        <v>13.1</v>
      </c>
      <c r="K284" s="455">
        <f t="shared" si="411"/>
        <v>63.1</v>
      </c>
      <c r="L284" s="455"/>
      <c r="M284" s="224">
        <f t="shared" si="412"/>
        <v>0.20760697305863707</v>
      </c>
      <c r="N284" s="179">
        <f t="shared" si="413"/>
        <v>6.7731774960380342</v>
      </c>
      <c r="O284" s="179">
        <f t="shared" si="405"/>
        <v>0.4284</v>
      </c>
      <c r="P284" s="224">
        <f t="shared" si="414"/>
        <v>1.0751075390536562</v>
      </c>
      <c r="Q284" s="224">
        <f t="shared" si="415"/>
        <v>6.3</v>
      </c>
      <c r="R284" s="224"/>
      <c r="S284" s="179">
        <f t="shared" si="416"/>
        <v>454.79314672598372</v>
      </c>
      <c r="T284" s="179">
        <f t="shared" si="417"/>
        <v>6.3</v>
      </c>
      <c r="U284" s="224">
        <f t="shared" si="418"/>
        <v>9.1711755725190844E-2</v>
      </c>
      <c r="V284" s="224">
        <f t="shared" si="419"/>
        <v>0.10088293129770994</v>
      </c>
      <c r="W284" s="224">
        <f t="shared" si="420"/>
        <v>0.38504935609812951</v>
      </c>
      <c r="X284" s="204">
        <f t="shared" si="421"/>
        <v>350</v>
      </c>
      <c r="Y284" s="455">
        <f t="shared" si="407"/>
        <v>350</v>
      </c>
      <c r="AA284" s="224">
        <f t="shared" si="422"/>
        <v>0.539238891061395</v>
      </c>
      <c r="AB284" s="180">
        <f t="shared" si="423"/>
        <v>2.2639800769753222</v>
      </c>
      <c r="AC284" s="180">
        <f t="shared" si="424"/>
        <v>0.42728913713264249</v>
      </c>
      <c r="AD284" s="180"/>
      <c r="AE284" s="180">
        <f t="shared" si="425"/>
        <v>1.217557251908397</v>
      </c>
      <c r="AF284" s="564">
        <f t="shared" si="426"/>
        <v>192.58458545022157</v>
      </c>
      <c r="AG284" s="547">
        <f t="shared" si="427"/>
        <v>0.1235820610687023</v>
      </c>
      <c r="AI284" s="180">
        <f t="shared" si="428"/>
        <v>0.21511700229253072</v>
      </c>
      <c r="AJ284" s="180">
        <f t="shared" si="429"/>
        <v>0.28999999999999998</v>
      </c>
      <c r="AK284" s="180">
        <f t="shared" si="430"/>
        <v>1.1100483345429837</v>
      </c>
      <c r="AM284" s="564">
        <f t="shared" si="431"/>
        <v>68</v>
      </c>
      <c r="AN284" s="473">
        <f t="shared" si="432"/>
        <v>192.58458545022157</v>
      </c>
      <c r="AP284">
        <f t="shared" si="433"/>
        <v>68</v>
      </c>
      <c r="AQ284">
        <f t="shared" si="434"/>
        <v>192.58458545022157</v>
      </c>
      <c r="AS284" s="5">
        <f t="shared" si="406"/>
        <v>5.1925235743152234</v>
      </c>
      <c r="AT284" s="5">
        <f t="shared" si="435"/>
        <v>0.31900000000000001</v>
      </c>
      <c r="AU284" s="5">
        <f t="shared" si="372"/>
        <v>4.8735235743152234</v>
      </c>
      <c r="AV284" s="5"/>
      <c r="AW284" s="180">
        <f t="shared" si="373"/>
        <v>6.1434482758620679E-2</v>
      </c>
      <c r="AX284" s="180"/>
      <c r="CB284" s="582">
        <f t="shared" si="436"/>
        <v>-50</v>
      </c>
      <c r="CC284">
        <f t="shared" si="437"/>
        <v>-50</v>
      </c>
    </row>
    <row r="285" spans="5:81" x14ac:dyDescent="0.25">
      <c r="E285" s="177">
        <v>69</v>
      </c>
      <c r="F285" s="224">
        <f t="shared" si="438"/>
        <v>6.8999999999999992E-2</v>
      </c>
      <c r="G285" s="224"/>
      <c r="H285" s="224">
        <f t="shared" si="408"/>
        <v>0.43469999999999992</v>
      </c>
      <c r="I285" s="560">
        <f t="shared" si="409"/>
        <v>50</v>
      </c>
      <c r="J285" s="455">
        <f t="shared" si="410"/>
        <v>13.1</v>
      </c>
      <c r="K285" s="455">
        <f t="shared" si="411"/>
        <v>63.1</v>
      </c>
      <c r="L285" s="455"/>
      <c r="M285" s="224">
        <f t="shared" si="412"/>
        <v>0.20760697305863707</v>
      </c>
      <c r="N285" s="179">
        <f t="shared" si="413"/>
        <v>6.7731774960380342</v>
      </c>
      <c r="O285" s="179">
        <f t="shared" si="405"/>
        <v>0.43469999999999992</v>
      </c>
      <c r="P285" s="224">
        <f t="shared" si="414"/>
        <v>1.0751075390536562</v>
      </c>
      <c r="Q285" s="224">
        <f t="shared" si="415"/>
        <v>6.3</v>
      </c>
      <c r="R285" s="224"/>
      <c r="S285" s="179">
        <f t="shared" si="416"/>
        <v>447.8400350462162</v>
      </c>
      <c r="T285" s="179">
        <f t="shared" si="417"/>
        <v>6.3</v>
      </c>
      <c r="U285" s="224">
        <f t="shared" si="418"/>
        <v>9.3060458015267161E-2</v>
      </c>
      <c r="V285" s="224">
        <f t="shared" si="419"/>
        <v>0.10236650381679389</v>
      </c>
      <c r="W285" s="224">
        <f t="shared" si="420"/>
        <v>0.39071184662898428</v>
      </c>
      <c r="X285" s="204">
        <f t="shared" si="421"/>
        <v>350</v>
      </c>
      <c r="Y285" s="455">
        <f t="shared" si="407"/>
        <v>350</v>
      </c>
      <c r="AA285" s="224">
        <f t="shared" si="422"/>
        <v>0.539238891061395</v>
      </c>
      <c r="AB285" s="180">
        <f t="shared" si="423"/>
        <v>2.2639800769753222</v>
      </c>
      <c r="AC285" s="180">
        <f t="shared" si="424"/>
        <v>0.42728913713264249</v>
      </c>
      <c r="AD285" s="180"/>
      <c r="AE285" s="180">
        <f t="shared" si="425"/>
        <v>1.217557251908397</v>
      </c>
      <c r="AF285" s="564">
        <f t="shared" si="426"/>
        <v>195.41671170684245</v>
      </c>
      <c r="AG285" s="547">
        <f t="shared" si="427"/>
        <v>0.1235820610687023</v>
      </c>
      <c r="AI285" s="180">
        <f t="shared" si="428"/>
        <v>0.21669297209610686</v>
      </c>
      <c r="AJ285" s="180">
        <f t="shared" si="429"/>
        <v>0.28999999999999998</v>
      </c>
      <c r="AK285" s="180">
        <f t="shared" si="430"/>
        <v>1.11166669240391</v>
      </c>
      <c r="AM285" s="564">
        <f t="shared" si="431"/>
        <v>68.999999999999986</v>
      </c>
      <c r="AN285" s="473">
        <f t="shared" si="432"/>
        <v>195.41671170684245</v>
      </c>
      <c r="AP285">
        <f t="shared" si="433"/>
        <v>68.999999999999986</v>
      </c>
      <c r="AQ285">
        <f t="shared" si="434"/>
        <v>195.41671170684245</v>
      </c>
      <c r="AS285" s="5">
        <f t="shared" si="406"/>
        <v>5.1172696094700756</v>
      </c>
      <c r="AT285" s="5">
        <f t="shared" si="435"/>
        <v>0.31900000000000001</v>
      </c>
      <c r="AU285" s="5">
        <f t="shared" si="372"/>
        <v>4.7982696094700756</v>
      </c>
      <c r="AV285" s="5"/>
      <c r="AW285" s="180">
        <f t="shared" si="373"/>
        <v>6.2337931034482742E-2</v>
      </c>
      <c r="AX285" s="180"/>
      <c r="CB285" s="582">
        <f t="shared" si="436"/>
        <v>-50</v>
      </c>
      <c r="CC285">
        <f t="shared" si="437"/>
        <v>-50</v>
      </c>
    </row>
    <row r="286" spans="5:81" x14ac:dyDescent="0.25">
      <c r="E286" s="177">
        <v>70</v>
      </c>
      <c r="F286" s="224">
        <f t="shared" si="438"/>
        <v>6.9999999999999993E-2</v>
      </c>
      <c r="G286" s="224"/>
      <c r="H286" s="224">
        <f t="shared" si="408"/>
        <v>0.44099999999999995</v>
      </c>
      <c r="I286" s="560">
        <f t="shared" si="409"/>
        <v>50</v>
      </c>
      <c r="J286" s="455">
        <f t="shared" si="410"/>
        <v>13.1</v>
      </c>
      <c r="K286" s="455">
        <f t="shared" si="411"/>
        <v>63.1</v>
      </c>
      <c r="L286" s="455"/>
      <c r="M286" s="224">
        <f t="shared" si="412"/>
        <v>0.20760697305863707</v>
      </c>
      <c r="N286" s="179">
        <f t="shared" si="413"/>
        <v>6.7731774960380342</v>
      </c>
      <c r="O286" s="179">
        <f t="shared" si="405"/>
        <v>0.44099999999999995</v>
      </c>
      <c r="P286" s="224">
        <f t="shared" si="414"/>
        <v>1.0751075390536562</v>
      </c>
      <c r="Q286" s="224">
        <f t="shared" si="415"/>
        <v>6.3</v>
      </c>
      <c r="R286" s="224"/>
      <c r="S286" s="179">
        <f t="shared" si="416"/>
        <v>441.08559013043214</v>
      </c>
      <c r="T286" s="179">
        <f t="shared" si="417"/>
        <v>6.3</v>
      </c>
      <c r="U286" s="224">
        <f t="shared" si="418"/>
        <v>9.4409160305343506E-2</v>
      </c>
      <c r="V286" s="224">
        <f t="shared" si="419"/>
        <v>0.10385007633587785</v>
      </c>
      <c r="W286" s="224">
        <f t="shared" si="420"/>
        <v>0.39637433715983916</v>
      </c>
      <c r="X286" s="204">
        <f t="shared" si="421"/>
        <v>350</v>
      </c>
      <c r="Y286" s="455">
        <f t="shared" si="407"/>
        <v>350</v>
      </c>
      <c r="AA286" s="224">
        <f t="shared" si="422"/>
        <v>0.539238891061395</v>
      </c>
      <c r="AB286" s="180">
        <f t="shared" si="423"/>
        <v>2.2639800769753222</v>
      </c>
      <c r="AC286" s="180">
        <f t="shared" si="424"/>
        <v>0.42728913713264249</v>
      </c>
      <c r="AD286" s="180"/>
      <c r="AE286" s="180">
        <f t="shared" si="425"/>
        <v>1.217557251908397</v>
      </c>
      <c r="AF286" s="564">
        <f t="shared" si="426"/>
        <v>198.24883796346336</v>
      </c>
      <c r="AG286" s="547">
        <f t="shared" si="427"/>
        <v>0.1235820610687023</v>
      </c>
      <c r="AI286" s="180">
        <f t="shared" si="428"/>
        <v>0.21825756260978363</v>
      </c>
      <c r="AJ286" s="180">
        <f t="shared" si="429"/>
        <v>0.28999999999999998</v>
      </c>
      <c r="AK286" s="180">
        <f t="shared" si="430"/>
        <v>1.1132850502648362</v>
      </c>
      <c r="AM286" s="564">
        <f t="shared" si="431"/>
        <v>69.999999999999986</v>
      </c>
      <c r="AN286" s="473">
        <f t="shared" si="432"/>
        <v>198.24883796346336</v>
      </c>
      <c r="AP286">
        <f t="shared" si="433"/>
        <v>69.999999999999986</v>
      </c>
      <c r="AQ286">
        <f t="shared" si="434"/>
        <v>198.24883796346336</v>
      </c>
      <c r="AS286" s="5">
        <f t="shared" si="406"/>
        <v>5.0441657579062174</v>
      </c>
      <c r="AT286" s="5">
        <f t="shared" si="435"/>
        <v>0.31900000000000001</v>
      </c>
      <c r="AU286" s="5">
        <f t="shared" si="372"/>
        <v>4.7251657579062174</v>
      </c>
      <c r="AV286" s="5"/>
      <c r="AW286" s="180">
        <f t="shared" si="373"/>
        <v>6.3241379310344806E-2</v>
      </c>
      <c r="AX286" s="180"/>
      <c r="CB286" s="582">
        <f t="shared" si="436"/>
        <v>-50</v>
      </c>
      <c r="CC286">
        <f t="shared" si="437"/>
        <v>-50</v>
      </c>
    </row>
    <row r="287" spans="5:81" x14ac:dyDescent="0.25">
      <c r="E287" s="177">
        <v>71</v>
      </c>
      <c r="F287" s="224">
        <f t="shared" si="438"/>
        <v>7.0999999999999994E-2</v>
      </c>
      <c r="G287" s="224"/>
      <c r="H287" s="224">
        <f t="shared" si="408"/>
        <v>0.44729999999999992</v>
      </c>
      <c r="I287" s="560">
        <f t="shared" si="409"/>
        <v>50</v>
      </c>
      <c r="J287" s="455">
        <f t="shared" si="410"/>
        <v>13.1</v>
      </c>
      <c r="K287" s="455">
        <f t="shared" si="411"/>
        <v>63.1</v>
      </c>
      <c r="L287" s="455"/>
      <c r="M287" s="224">
        <f t="shared" si="412"/>
        <v>0.20760697305863707</v>
      </c>
      <c r="N287" s="179">
        <f t="shared" si="413"/>
        <v>6.7731774960380342</v>
      </c>
      <c r="O287" s="179">
        <f t="shared" si="405"/>
        <v>0.44729999999999992</v>
      </c>
      <c r="P287" s="224">
        <f t="shared" si="414"/>
        <v>1.0751075390536562</v>
      </c>
      <c r="Q287" s="224">
        <f t="shared" si="415"/>
        <v>6.3</v>
      </c>
      <c r="R287" s="224"/>
      <c r="S287" s="179">
        <f t="shared" si="416"/>
        <v>434.52141762353546</v>
      </c>
      <c r="T287" s="179">
        <f t="shared" si="417"/>
        <v>6.3</v>
      </c>
      <c r="U287" s="224">
        <f t="shared" si="418"/>
        <v>9.5757862595419838E-2</v>
      </c>
      <c r="V287" s="224">
        <f t="shared" si="419"/>
        <v>0.10533364885496183</v>
      </c>
      <c r="W287" s="224">
        <f t="shared" si="420"/>
        <v>0.40203682769069399</v>
      </c>
      <c r="X287" s="204">
        <f t="shared" si="421"/>
        <v>350</v>
      </c>
      <c r="Y287" s="455">
        <f t="shared" si="407"/>
        <v>350</v>
      </c>
      <c r="AA287" s="224">
        <f t="shared" si="422"/>
        <v>0.539238891061395</v>
      </c>
      <c r="AB287" s="180">
        <f t="shared" si="423"/>
        <v>2.2639800769753222</v>
      </c>
      <c r="AC287" s="180">
        <f t="shared" si="424"/>
        <v>0.42728913713264249</v>
      </c>
      <c r="AD287" s="180"/>
      <c r="AE287" s="180">
        <f t="shared" si="425"/>
        <v>1.217557251908397</v>
      </c>
      <c r="AF287" s="564">
        <f t="shared" si="426"/>
        <v>201.08096422008427</v>
      </c>
      <c r="AG287" s="547">
        <f t="shared" si="427"/>
        <v>0.1235820610687023</v>
      </c>
      <c r="AI287" s="180">
        <f t="shared" si="428"/>
        <v>0.21981101682327733</v>
      </c>
      <c r="AJ287" s="180">
        <f t="shared" si="429"/>
        <v>0.28999999999999998</v>
      </c>
      <c r="AK287" s="180">
        <f t="shared" si="430"/>
        <v>1.1149034081257625</v>
      </c>
      <c r="AM287" s="564">
        <f t="shared" si="431"/>
        <v>71</v>
      </c>
      <c r="AN287" s="473">
        <f t="shared" si="432"/>
        <v>201.08096422008427</v>
      </c>
      <c r="AP287">
        <f t="shared" si="433"/>
        <v>71</v>
      </c>
      <c r="AQ287">
        <f t="shared" si="434"/>
        <v>201.08096422008427</v>
      </c>
      <c r="AS287" s="5">
        <f t="shared" si="406"/>
        <v>4.9731211697666922</v>
      </c>
      <c r="AT287" s="5">
        <f t="shared" si="435"/>
        <v>0.31900000000000001</v>
      </c>
      <c r="AU287" s="5">
        <f t="shared" si="372"/>
        <v>4.6541211697666922</v>
      </c>
      <c r="AV287" s="5"/>
      <c r="AW287" s="180">
        <f t="shared" si="373"/>
        <v>6.414482758620689E-2</v>
      </c>
      <c r="AX287" s="180"/>
      <c r="CB287" s="582">
        <f t="shared" si="436"/>
        <v>-50</v>
      </c>
      <c r="CC287">
        <f t="shared" si="437"/>
        <v>-50</v>
      </c>
    </row>
    <row r="288" spans="5:81" x14ac:dyDescent="0.25">
      <c r="E288" s="177">
        <v>72</v>
      </c>
      <c r="F288" s="224">
        <f t="shared" si="438"/>
        <v>7.1999999999999995E-2</v>
      </c>
      <c r="G288" s="224"/>
      <c r="H288" s="224">
        <f t="shared" si="408"/>
        <v>0.45359999999999995</v>
      </c>
      <c r="I288" s="560">
        <f t="shared" si="409"/>
        <v>50</v>
      </c>
      <c r="J288" s="455">
        <f t="shared" si="410"/>
        <v>13.1</v>
      </c>
      <c r="K288" s="455">
        <f t="shared" si="411"/>
        <v>63.1</v>
      </c>
      <c r="L288" s="455"/>
      <c r="M288" s="224">
        <f t="shared" si="412"/>
        <v>0.20760697305863707</v>
      </c>
      <c r="N288" s="179">
        <f t="shared" si="413"/>
        <v>6.7731774960380342</v>
      </c>
      <c r="O288" s="179">
        <f t="shared" si="405"/>
        <v>0.45359999999999995</v>
      </c>
      <c r="P288" s="224">
        <f t="shared" si="414"/>
        <v>1.0751075390536562</v>
      </c>
      <c r="Q288" s="224">
        <f t="shared" si="415"/>
        <v>6.3</v>
      </c>
      <c r="R288" s="224"/>
      <c r="S288" s="179">
        <f t="shared" si="416"/>
        <v>428.13958952353852</v>
      </c>
      <c r="T288" s="179">
        <f t="shared" si="417"/>
        <v>6.3</v>
      </c>
      <c r="U288" s="224">
        <f t="shared" si="418"/>
        <v>9.7106564885496183E-2</v>
      </c>
      <c r="V288" s="224">
        <f t="shared" si="419"/>
        <v>0.1068172213740458</v>
      </c>
      <c r="W288" s="224">
        <f t="shared" si="420"/>
        <v>0.40769931822154887</v>
      </c>
      <c r="X288" s="204">
        <f t="shared" si="421"/>
        <v>350</v>
      </c>
      <c r="Y288" s="455">
        <f t="shared" si="407"/>
        <v>350</v>
      </c>
      <c r="AA288" s="224">
        <f t="shared" si="422"/>
        <v>0.539238891061395</v>
      </c>
      <c r="AB288" s="180">
        <f t="shared" si="423"/>
        <v>2.2639800769753222</v>
      </c>
      <c r="AC288" s="180">
        <f t="shared" si="424"/>
        <v>0.42728913713264249</v>
      </c>
      <c r="AD288" s="180"/>
      <c r="AE288" s="180">
        <f t="shared" si="425"/>
        <v>1.217557251908397</v>
      </c>
      <c r="AF288" s="564">
        <f t="shared" si="426"/>
        <v>203.91309047670518</v>
      </c>
      <c r="AG288" s="547">
        <f t="shared" si="427"/>
        <v>0.1235820610687023</v>
      </c>
      <c r="AI288" s="180">
        <f t="shared" si="428"/>
        <v>0.22135356919960109</v>
      </c>
      <c r="AJ288" s="180">
        <f t="shared" si="429"/>
        <v>0.28999999999999998</v>
      </c>
      <c r="AK288" s="180">
        <f t="shared" si="430"/>
        <v>1.1165217659866886</v>
      </c>
      <c r="AM288" s="564">
        <f t="shared" si="431"/>
        <v>72</v>
      </c>
      <c r="AN288" s="473">
        <f t="shared" si="432"/>
        <v>203.91309047670518</v>
      </c>
      <c r="AP288">
        <f t="shared" si="433"/>
        <v>72</v>
      </c>
      <c r="AQ288">
        <f t="shared" si="434"/>
        <v>203.91309047670518</v>
      </c>
      <c r="AS288" s="5">
        <f t="shared" si="406"/>
        <v>4.904050042408822</v>
      </c>
      <c r="AT288" s="5">
        <f t="shared" si="435"/>
        <v>0.31900000000000001</v>
      </c>
      <c r="AU288" s="5">
        <f t="shared" si="372"/>
        <v>4.5850500424088221</v>
      </c>
      <c r="AV288" s="5"/>
      <c r="AW288" s="180">
        <f t="shared" si="373"/>
        <v>6.5048275862068947E-2</v>
      </c>
      <c r="AX288" s="180"/>
      <c r="CB288" s="582">
        <f t="shared" si="436"/>
        <v>-50</v>
      </c>
      <c r="CC288">
        <f t="shared" si="437"/>
        <v>-50</v>
      </c>
    </row>
    <row r="289" spans="5:81" x14ac:dyDescent="0.25">
      <c r="E289" s="177">
        <v>73</v>
      </c>
      <c r="F289" s="224">
        <f t="shared" si="438"/>
        <v>7.2999999999999995E-2</v>
      </c>
      <c r="G289" s="224"/>
      <c r="H289" s="224">
        <f t="shared" si="408"/>
        <v>0.45989999999999998</v>
      </c>
      <c r="I289" s="560">
        <f t="shared" si="409"/>
        <v>50</v>
      </c>
      <c r="J289" s="455">
        <f t="shared" si="410"/>
        <v>13.1</v>
      </c>
      <c r="K289" s="455">
        <f t="shared" si="411"/>
        <v>63.1</v>
      </c>
      <c r="L289" s="455"/>
      <c r="M289" s="224">
        <f t="shared" si="412"/>
        <v>0.20760697305863707</v>
      </c>
      <c r="N289" s="179">
        <f t="shared" si="413"/>
        <v>6.7731774960380342</v>
      </c>
      <c r="O289" s="179">
        <f t="shared" si="405"/>
        <v>0.45989999999999998</v>
      </c>
      <c r="P289" s="224">
        <f t="shared" si="414"/>
        <v>1.0751075390536562</v>
      </c>
      <c r="Q289" s="224">
        <f t="shared" si="415"/>
        <v>6.3</v>
      </c>
      <c r="R289" s="224"/>
      <c r="S289" s="179">
        <f t="shared" si="416"/>
        <v>421.9326122395683</v>
      </c>
      <c r="T289" s="179">
        <f t="shared" si="417"/>
        <v>6.3</v>
      </c>
      <c r="U289" s="224">
        <f t="shared" si="418"/>
        <v>9.8455267175572528E-2</v>
      </c>
      <c r="V289" s="224">
        <f t="shared" si="419"/>
        <v>0.1083007938931298</v>
      </c>
      <c r="W289" s="224">
        <f t="shared" si="420"/>
        <v>0.4133618087524038</v>
      </c>
      <c r="X289" s="204">
        <f t="shared" si="421"/>
        <v>350</v>
      </c>
      <c r="Y289" s="455">
        <f t="shared" si="407"/>
        <v>350</v>
      </c>
      <c r="AA289" s="224">
        <f t="shared" si="422"/>
        <v>0.539238891061395</v>
      </c>
      <c r="AB289" s="180">
        <f t="shared" si="423"/>
        <v>2.2639800769753222</v>
      </c>
      <c r="AC289" s="180">
        <f t="shared" si="424"/>
        <v>0.42728913713264249</v>
      </c>
      <c r="AD289" s="180"/>
      <c r="AE289" s="180">
        <f t="shared" si="425"/>
        <v>1.217557251908397</v>
      </c>
      <c r="AF289" s="564">
        <f t="shared" si="426"/>
        <v>206.74521673332609</v>
      </c>
      <c r="AG289" s="547">
        <f t="shared" si="427"/>
        <v>0.1235820610687023</v>
      </c>
      <c r="AI289" s="180">
        <f t="shared" si="428"/>
        <v>0.22288544608816896</v>
      </c>
      <c r="AJ289" s="180">
        <f t="shared" si="429"/>
        <v>0.28999999999999998</v>
      </c>
      <c r="AK289" s="180">
        <f t="shared" si="430"/>
        <v>1.118140123847615</v>
      </c>
      <c r="AM289" s="564">
        <f t="shared" si="431"/>
        <v>73</v>
      </c>
      <c r="AN289" s="473">
        <f t="shared" si="432"/>
        <v>206.74521673332609</v>
      </c>
      <c r="AP289">
        <f t="shared" si="433"/>
        <v>73</v>
      </c>
      <c r="AQ289">
        <f t="shared" si="434"/>
        <v>206.74521673332609</v>
      </c>
      <c r="AS289" s="5">
        <f t="shared" si="406"/>
        <v>4.836871274704591</v>
      </c>
      <c r="AT289" s="5">
        <f t="shared" si="435"/>
        <v>0.31900000000000001</v>
      </c>
      <c r="AU289" s="5">
        <f t="shared" si="372"/>
        <v>4.517871274704591</v>
      </c>
      <c r="AV289" s="5"/>
      <c r="AW289" s="180">
        <f t="shared" si="373"/>
        <v>6.5951724137931031E-2</v>
      </c>
      <c r="AX289" s="180"/>
      <c r="CB289" s="582">
        <f t="shared" si="436"/>
        <v>-50</v>
      </c>
      <c r="CC289">
        <f t="shared" si="437"/>
        <v>-50</v>
      </c>
    </row>
    <row r="290" spans="5:81" x14ac:dyDescent="0.25">
      <c r="E290" s="177">
        <v>74</v>
      </c>
      <c r="F290" s="224">
        <f t="shared" si="438"/>
        <v>7.3999999999999996E-2</v>
      </c>
      <c r="G290" s="224"/>
      <c r="H290" s="224">
        <f t="shared" si="408"/>
        <v>0.46619999999999995</v>
      </c>
      <c r="I290" s="560">
        <f t="shared" si="409"/>
        <v>50</v>
      </c>
      <c r="J290" s="455">
        <f t="shared" si="410"/>
        <v>13.1</v>
      </c>
      <c r="K290" s="455">
        <f t="shared" si="411"/>
        <v>63.1</v>
      </c>
      <c r="L290" s="455"/>
      <c r="M290" s="224">
        <f t="shared" si="412"/>
        <v>0.20760697305863707</v>
      </c>
      <c r="N290" s="179">
        <f t="shared" si="413"/>
        <v>6.7731774960380342</v>
      </c>
      <c r="O290" s="179">
        <f t="shared" si="405"/>
        <v>0.46619999999999995</v>
      </c>
      <c r="P290" s="224">
        <f t="shared" si="414"/>
        <v>1.0751075390536562</v>
      </c>
      <c r="Q290" s="224">
        <f t="shared" si="415"/>
        <v>6.3</v>
      </c>
      <c r="R290" s="224"/>
      <c r="S290" s="179">
        <f t="shared" si="416"/>
        <v>415.89339723976479</v>
      </c>
      <c r="T290" s="179">
        <f t="shared" si="417"/>
        <v>6.3</v>
      </c>
      <c r="U290" s="224">
        <f t="shared" si="418"/>
        <v>9.9803969465648859E-2</v>
      </c>
      <c r="V290" s="224">
        <f t="shared" si="419"/>
        <v>0.10978436641221374</v>
      </c>
      <c r="W290" s="224">
        <f t="shared" si="420"/>
        <v>0.41902429928325857</v>
      </c>
      <c r="X290" s="204">
        <f t="shared" si="421"/>
        <v>350</v>
      </c>
      <c r="Y290" s="455">
        <f t="shared" si="407"/>
        <v>350</v>
      </c>
      <c r="AA290" s="224">
        <f t="shared" si="422"/>
        <v>0.539238891061395</v>
      </c>
      <c r="AB290" s="180">
        <f t="shared" si="423"/>
        <v>2.2639800769753222</v>
      </c>
      <c r="AC290" s="180">
        <f t="shared" si="424"/>
        <v>0.42728913713264249</v>
      </c>
      <c r="AD290" s="180"/>
      <c r="AE290" s="180">
        <f t="shared" si="425"/>
        <v>1.217557251908397</v>
      </c>
      <c r="AF290" s="564">
        <f t="shared" si="426"/>
        <v>209.577342989947</v>
      </c>
      <c r="AG290" s="547">
        <f t="shared" si="427"/>
        <v>0.1235820610687023</v>
      </c>
      <c r="AI290" s="180">
        <f t="shared" si="428"/>
        <v>0.22440686611251792</v>
      </c>
      <c r="AJ290" s="180">
        <f t="shared" si="429"/>
        <v>0.28999999999999998</v>
      </c>
      <c r="AK290" s="180">
        <f t="shared" si="430"/>
        <v>1.1197584817085411</v>
      </c>
      <c r="AM290" s="564">
        <f t="shared" si="431"/>
        <v>74</v>
      </c>
      <c r="AN290" s="473">
        <f t="shared" si="432"/>
        <v>209.577342989947</v>
      </c>
      <c r="AP290">
        <f t="shared" si="433"/>
        <v>74</v>
      </c>
      <c r="AQ290">
        <f t="shared" si="434"/>
        <v>209.577342989947</v>
      </c>
      <c r="AS290" s="5">
        <f t="shared" si="406"/>
        <v>4.7715081493707459</v>
      </c>
      <c r="AT290" s="5">
        <f t="shared" si="435"/>
        <v>0.31900000000000001</v>
      </c>
      <c r="AU290" s="5">
        <f t="shared" si="372"/>
        <v>4.4525081493707459</v>
      </c>
      <c r="AV290" s="5"/>
      <c r="AW290" s="180">
        <f t="shared" si="373"/>
        <v>6.6855172413793088E-2</v>
      </c>
      <c r="AX290" s="180"/>
      <c r="CB290" s="582">
        <f t="shared" si="436"/>
        <v>-50</v>
      </c>
      <c r="CC290">
        <f t="shared" si="437"/>
        <v>-50</v>
      </c>
    </row>
    <row r="291" spans="5:81" x14ac:dyDescent="0.25">
      <c r="E291" s="177">
        <v>75</v>
      </c>
      <c r="F291" s="224">
        <f t="shared" si="438"/>
        <v>7.5000000000000011E-2</v>
      </c>
      <c r="G291" s="224"/>
      <c r="H291" s="224">
        <f t="shared" si="408"/>
        <v>0.47250000000000003</v>
      </c>
      <c r="I291" s="560">
        <f t="shared" si="409"/>
        <v>50</v>
      </c>
      <c r="J291" s="455">
        <f t="shared" si="410"/>
        <v>13.1</v>
      </c>
      <c r="K291" s="455">
        <f t="shared" si="411"/>
        <v>63.1</v>
      </c>
      <c r="L291" s="455"/>
      <c r="M291" s="224">
        <f t="shared" si="412"/>
        <v>0.20760697305863707</v>
      </c>
      <c r="N291" s="179">
        <f t="shared" si="413"/>
        <v>6.7731774960380342</v>
      </c>
      <c r="O291" s="179">
        <f t="shared" si="405"/>
        <v>0.47250000000000003</v>
      </c>
      <c r="P291" s="224">
        <f t="shared" si="414"/>
        <v>1.0751075390536562</v>
      </c>
      <c r="Q291" s="224">
        <f t="shared" si="415"/>
        <v>6.3</v>
      </c>
      <c r="R291" s="224"/>
      <c r="S291" s="179">
        <f t="shared" si="416"/>
        <v>410.01523404734621</v>
      </c>
      <c r="T291" s="179">
        <f t="shared" si="417"/>
        <v>6.3</v>
      </c>
      <c r="U291" s="224">
        <f t="shared" si="418"/>
        <v>0.1011526717557252</v>
      </c>
      <c r="V291" s="224">
        <f t="shared" si="419"/>
        <v>0.11126793893129773</v>
      </c>
      <c r="W291" s="224">
        <f t="shared" si="420"/>
        <v>0.42468678981411351</v>
      </c>
      <c r="X291" s="204">
        <f t="shared" si="421"/>
        <v>350</v>
      </c>
      <c r="Y291" s="455">
        <f t="shared" si="407"/>
        <v>350</v>
      </c>
      <c r="AA291" s="224">
        <f t="shared" si="422"/>
        <v>0.539238891061395</v>
      </c>
      <c r="AB291" s="180">
        <f t="shared" si="423"/>
        <v>2.2639800769753222</v>
      </c>
      <c r="AC291" s="180">
        <f t="shared" si="424"/>
        <v>0.42728913713264249</v>
      </c>
      <c r="AD291" s="180"/>
      <c r="AE291" s="180">
        <f t="shared" si="425"/>
        <v>1.217557251908397</v>
      </c>
      <c r="AF291" s="564">
        <f t="shared" si="426"/>
        <v>212.40946924656794</v>
      </c>
      <c r="AG291" s="547">
        <f t="shared" si="427"/>
        <v>0.1235820610687023</v>
      </c>
      <c r="AI291" s="180">
        <f t="shared" si="428"/>
        <v>0.22591804053452891</v>
      </c>
      <c r="AJ291" s="180">
        <f t="shared" si="429"/>
        <v>0.28999999999999998</v>
      </c>
      <c r="AK291" s="180">
        <f t="shared" si="430"/>
        <v>1.1213768395694674</v>
      </c>
      <c r="AM291" s="564">
        <f t="shared" si="431"/>
        <v>75.000000000000014</v>
      </c>
      <c r="AN291" s="473">
        <f t="shared" si="432"/>
        <v>212.40946924656794</v>
      </c>
      <c r="AP291">
        <f t="shared" si="433"/>
        <v>75.000000000000014</v>
      </c>
      <c r="AQ291">
        <f t="shared" si="434"/>
        <v>212.40946924656794</v>
      </c>
      <c r="AS291" s="5">
        <f t="shared" si="406"/>
        <v>4.7078880407124686</v>
      </c>
      <c r="AT291" s="5">
        <f t="shared" si="435"/>
        <v>0.31900000000000001</v>
      </c>
      <c r="AU291" s="5">
        <f t="shared" si="372"/>
        <v>4.3888880407124686</v>
      </c>
      <c r="AV291" s="5"/>
      <c r="AW291" s="180">
        <f t="shared" si="373"/>
        <v>6.7758620689655172E-2</v>
      </c>
      <c r="AX291" s="180"/>
      <c r="CB291" s="582">
        <f t="shared" si="436"/>
        <v>-50</v>
      </c>
      <c r="CC291">
        <f t="shared" si="437"/>
        <v>-50</v>
      </c>
    </row>
    <row r="292" spans="5:81" x14ac:dyDescent="0.25">
      <c r="E292" s="177">
        <v>76</v>
      </c>
      <c r="F292" s="224">
        <f t="shared" si="438"/>
        <v>7.6000000000000012E-2</v>
      </c>
      <c r="G292" s="224"/>
      <c r="H292" s="224">
        <f t="shared" si="408"/>
        <v>0.47880000000000006</v>
      </c>
      <c r="I292" s="560">
        <f t="shared" si="409"/>
        <v>50</v>
      </c>
      <c r="J292" s="455">
        <f t="shared" si="410"/>
        <v>13.1</v>
      </c>
      <c r="K292" s="455">
        <f t="shared" si="411"/>
        <v>63.1</v>
      </c>
      <c r="L292" s="455"/>
      <c r="M292" s="224">
        <f t="shared" si="412"/>
        <v>0.20760697305863707</v>
      </c>
      <c r="N292" s="179">
        <f t="shared" si="413"/>
        <v>6.7731774960380342</v>
      </c>
      <c r="O292" s="179">
        <f t="shared" si="405"/>
        <v>0.47880000000000006</v>
      </c>
      <c r="P292" s="224">
        <f t="shared" si="414"/>
        <v>1.0751075390536562</v>
      </c>
      <c r="Q292" s="224">
        <f t="shared" si="415"/>
        <v>6.3</v>
      </c>
      <c r="R292" s="224"/>
      <c r="S292" s="179">
        <f t="shared" si="416"/>
        <v>404.29176536856534</v>
      </c>
      <c r="T292" s="179">
        <f t="shared" si="417"/>
        <v>6.3</v>
      </c>
      <c r="U292" s="224">
        <f t="shared" si="418"/>
        <v>0.10250137404580155</v>
      </c>
      <c r="V292" s="224">
        <f t="shared" si="419"/>
        <v>0.11275151145038172</v>
      </c>
      <c r="W292" s="224">
        <f t="shared" si="420"/>
        <v>0.43034928034496839</v>
      </c>
      <c r="X292" s="204">
        <f t="shared" si="421"/>
        <v>350</v>
      </c>
      <c r="Y292" s="455">
        <f t="shared" si="407"/>
        <v>350</v>
      </c>
      <c r="AA292" s="224">
        <f t="shared" si="422"/>
        <v>0.539238891061395</v>
      </c>
      <c r="AB292" s="180">
        <f t="shared" si="423"/>
        <v>2.2639800769753222</v>
      </c>
      <c r="AC292" s="180">
        <f t="shared" si="424"/>
        <v>0.42728913713264249</v>
      </c>
      <c r="AD292" s="180"/>
      <c r="AE292" s="180">
        <f t="shared" si="425"/>
        <v>1.217557251908397</v>
      </c>
      <c r="AF292" s="564">
        <f t="shared" si="426"/>
        <v>215.24159550318885</v>
      </c>
      <c r="AG292" s="547">
        <f t="shared" si="427"/>
        <v>0.1235820610687023</v>
      </c>
      <c r="AI292" s="180">
        <f t="shared" si="428"/>
        <v>0.22741917359686389</v>
      </c>
      <c r="AJ292" s="180">
        <f t="shared" si="429"/>
        <v>0.28999999999999998</v>
      </c>
      <c r="AK292" s="180">
        <f t="shared" si="430"/>
        <v>1.1229951974303936</v>
      </c>
      <c r="AM292" s="564">
        <f t="shared" si="431"/>
        <v>76.000000000000014</v>
      </c>
      <c r="AN292" s="473">
        <f t="shared" si="432"/>
        <v>215.24159550318885</v>
      </c>
      <c r="AP292">
        <f t="shared" si="433"/>
        <v>76.000000000000014</v>
      </c>
      <c r="AQ292">
        <f t="shared" si="434"/>
        <v>215.24159550318885</v>
      </c>
      <c r="AS292" s="5">
        <f t="shared" si="406"/>
        <v>4.6459421454399354</v>
      </c>
      <c r="AT292" s="5">
        <f t="shared" si="435"/>
        <v>0.31900000000000001</v>
      </c>
      <c r="AU292" s="5">
        <f t="shared" si="372"/>
        <v>4.3269421454399355</v>
      </c>
      <c r="AV292" s="5"/>
      <c r="AW292" s="180">
        <f t="shared" si="373"/>
        <v>6.8662068965517242E-2</v>
      </c>
      <c r="AX292" s="180"/>
      <c r="CB292" s="582">
        <f t="shared" si="436"/>
        <v>-50</v>
      </c>
      <c r="CC292">
        <f t="shared" si="437"/>
        <v>-50</v>
      </c>
    </row>
    <row r="293" spans="5:81" x14ac:dyDescent="0.25">
      <c r="E293" s="177">
        <v>77</v>
      </c>
      <c r="F293" s="224">
        <f t="shared" si="438"/>
        <v>7.7000000000000013E-2</v>
      </c>
      <c r="G293" s="224"/>
      <c r="H293" s="224">
        <f t="shared" si="408"/>
        <v>0.48510000000000009</v>
      </c>
      <c r="I293" s="560">
        <f t="shared" si="409"/>
        <v>50</v>
      </c>
      <c r="J293" s="455">
        <f t="shared" si="410"/>
        <v>13.1</v>
      </c>
      <c r="K293" s="455">
        <f t="shared" si="411"/>
        <v>63.1</v>
      </c>
      <c r="L293" s="455"/>
      <c r="M293" s="224">
        <f t="shared" si="412"/>
        <v>0.20760697305863707</v>
      </c>
      <c r="N293" s="179">
        <f t="shared" si="413"/>
        <v>6.7731774960380342</v>
      </c>
      <c r="O293" s="179">
        <f t="shared" si="405"/>
        <v>0.48510000000000009</v>
      </c>
      <c r="P293" s="224">
        <f t="shared" si="414"/>
        <v>1.0751075390536562</v>
      </c>
      <c r="Q293" s="224">
        <f t="shared" si="415"/>
        <v>6.3</v>
      </c>
      <c r="R293" s="224"/>
      <c r="S293" s="179">
        <f t="shared" si="416"/>
        <v>398.71696415874618</v>
      </c>
      <c r="T293" s="179">
        <f t="shared" si="417"/>
        <v>6.3</v>
      </c>
      <c r="U293" s="224">
        <f t="shared" si="418"/>
        <v>0.10385007633587789</v>
      </c>
      <c r="V293" s="224">
        <f t="shared" si="419"/>
        <v>0.11423508396946569</v>
      </c>
      <c r="W293" s="224">
        <f t="shared" si="420"/>
        <v>0.43601177087582321</v>
      </c>
      <c r="X293" s="204">
        <f t="shared" si="421"/>
        <v>350</v>
      </c>
      <c r="Y293" s="455">
        <f t="shared" si="407"/>
        <v>350</v>
      </c>
      <c r="AA293" s="224">
        <f t="shared" si="422"/>
        <v>0.539238891061395</v>
      </c>
      <c r="AB293" s="180">
        <f t="shared" si="423"/>
        <v>2.2639800769753222</v>
      </c>
      <c r="AC293" s="180">
        <f t="shared" si="424"/>
        <v>0.42728913713264249</v>
      </c>
      <c r="AD293" s="180"/>
      <c r="AE293" s="180">
        <f t="shared" si="425"/>
        <v>1.217557251908397</v>
      </c>
      <c r="AF293" s="564">
        <f t="shared" si="426"/>
        <v>218.07372175980976</v>
      </c>
      <c r="AG293" s="547">
        <f t="shared" si="427"/>
        <v>0.1235820610687023</v>
      </c>
      <c r="AI293" s="180">
        <f t="shared" si="428"/>
        <v>0.22891046284519195</v>
      </c>
      <c r="AJ293" s="180">
        <f t="shared" si="429"/>
        <v>0.28999999999999998</v>
      </c>
      <c r="AK293" s="180">
        <f t="shared" si="430"/>
        <v>1.1246135552913199</v>
      </c>
      <c r="AM293" s="564">
        <f t="shared" si="431"/>
        <v>77.000000000000014</v>
      </c>
      <c r="AN293" s="473">
        <f t="shared" si="432"/>
        <v>218.07372175980976</v>
      </c>
      <c r="AP293">
        <f t="shared" si="433"/>
        <v>77.000000000000014</v>
      </c>
      <c r="AQ293">
        <f t="shared" si="434"/>
        <v>218.07372175980976</v>
      </c>
      <c r="AS293" s="5">
        <f t="shared" si="406"/>
        <v>4.5856052344601963</v>
      </c>
      <c r="AT293" s="5">
        <f t="shared" si="435"/>
        <v>0.31900000000000001</v>
      </c>
      <c r="AU293" s="5">
        <f t="shared" si="372"/>
        <v>4.2666052344601963</v>
      </c>
      <c r="AV293" s="5"/>
      <c r="AW293" s="180">
        <f t="shared" si="373"/>
        <v>6.9565517241379313E-2</v>
      </c>
      <c r="AX293" s="180"/>
      <c r="CB293" s="582">
        <f t="shared" si="436"/>
        <v>-50</v>
      </c>
      <c r="CC293">
        <f t="shared" si="437"/>
        <v>-50</v>
      </c>
    </row>
    <row r="294" spans="5:81" x14ac:dyDescent="0.25">
      <c r="E294" s="177">
        <v>78</v>
      </c>
      <c r="F294" s="224">
        <f t="shared" si="438"/>
        <v>7.8000000000000014E-2</v>
      </c>
      <c r="G294" s="224"/>
      <c r="H294" s="224">
        <f t="shared" si="408"/>
        <v>0.49140000000000006</v>
      </c>
      <c r="I294" s="560">
        <f t="shared" si="409"/>
        <v>50</v>
      </c>
      <c r="J294" s="455">
        <f t="shared" si="410"/>
        <v>13.1</v>
      </c>
      <c r="K294" s="455">
        <f t="shared" si="411"/>
        <v>63.1</v>
      </c>
      <c r="L294" s="455"/>
      <c r="M294" s="224">
        <f t="shared" si="412"/>
        <v>0.20760697305863707</v>
      </c>
      <c r="N294" s="179">
        <f t="shared" si="413"/>
        <v>6.7731774960380342</v>
      </c>
      <c r="O294" s="179">
        <f t="shared" si="405"/>
        <v>0.49140000000000006</v>
      </c>
      <c r="P294" s="224">
        <f t="shared" si="414"/>
        <v>1.0751075390536562</v>
      </c>
      <c r="Q294" s="224">
        <f t="shared" si="415"/>
        <v>6.3</v>
      </c>
      <c r="R294" s="224"/>
      <c r="S294" s="179">
        <f t="shared" si="416"/>
        <v>393.2851124524712</v>
      </c>
      <c r="T294" s="179">
        <f t="shared" si="417"/>
        <v>6.3</v>
      </c>
      <c r="U294" s="224">
        <f t="shared" si="418"/>
        <v>0.10519877862595423</v>
      </c>
      <c r="V294" s="224">
        <f t="shared" si="419"/>
        <v>0.11571865648854965</v>
      </c>
      <c r="W294" s="224">
        <f t="shared" si="420"/>
        <v>0.44167426140667809</v>
      </c>
      <c r="X294" s="204">
        <f t="shared" si="421"/>
        <v>350</v>
      </c>
      <c r="Y294" s="455">
        <f t="shared" si="407"/>
        <v>350</v>
      </c>
      <c r="AA294" s="224">
        <f t="shared" si="422"/>
        <v>0.539238891061395</v>
      </c>
      <c r="AB294" s="180">
        <f t="shared" si="423"/>
        <v>2.2639800769753222</v>
      </c>
      <c r="AC294" s="180">
        <f t="shared" si="424"/>
        <v>0.42728913713264249</v>
      </c>
      <c r="AD294" s="180"/>
      <c r="AE294" s="180">
        <f t="shared" si="425"/>
        <v>1.217557251908397</v>
      </c>
      <c r="AF294" s="564">
        <f t="shared" si="426"/>
        <v>220.90584801643064</v>
      </c>
      <c r="AG294" s="547">
        <f t="shared" si="427"/>
        <v>0.1235820610687023</v>
      </c>
      <c r="AI294" s="180">
        <f t="shared" si="428"/>
        <v>0.23039209943164171</v>
      </c>
      <c r="AJ294" s="180">
        <f t="shared" si="429"/>
        <v>0.28999999999999998</v>
      </c>
      <c r="AK294" s="180">
        <f t="shared" si="430"/>
        <v>1.126231913152246</v>
      </c>
      <c r="AM294" s="564">
        <f t="shared" si="431"/>
        <v>78.000000000000014</v>
      </c>
      <c r="AN294" s="473">
        <f t="shared" si="432"/>
        <v>220.90584801643064</v>
      </c>
      <c r="AP294">
        <f t="shared" si="433"/>
        <v>78.000000000000014</v>
      </c>
      <c r="AQ294">
        <f t="shared" si="434"/>
        <v>220.90584801643064</v>
      </c>
      <c r="AS294" s="5">
        <f t="shared" si="406"/>
        <v>4.5268154237619891</v>
      </c>
      <c r="AT294" s="5">
        <f t="shared" si="435"/>
        <v>0.31900000000000001</v>
      </c>
      <c r="AU294" s="5">
        <f t="shared" si="372"/>
        <v>4.2078154237619891</v>
      </c>
      <c r="AV294" s="5"/>
      <c r="AW294" s="180">
        <f t="shared" si="373"/>
        <v>7.0468965517241369E-2</v>
      </c>
      <c r="AX294" s="180"/>
      <c r="CB294" s="582">
        <f t="shared" si="436"/>
        <v>-50</v>
      </c>
      <c r="CC294">
        <f t="shared" si="437"/>
        <v>-50</v>
      </c>
    </row>
    <row r="295" spans="5:81" x14ac:dyDescent="0.25">
      <c r="E295" s="177">
        <v>79</v>
      </c>
      <c r="F295" s="224">
        <f t="shared" si="438"/>
        <v>7.9000000000000015E-2</v>
      </c>
      <c r="G295" s="224"/>
      <c r="H295" s="224">
        <f t="shared" si="408"/>
        <v>0.49770000000000009</v>
      </c>
      <c r="I295" s="560">
        <f t="shared" si="409"/>
        <v>50</v>
      </c>
      <c r="J295" s="455">
        <f t="shared" si="410"/>
        <v>13.1</v>
      </c>
      <c r="K295" s="455">
        <f t="shared" si="411"/>
        <v>63.1</v>
      </c>
      <c r="L295" s="455"/>
      <c r="M295" s="224">
        <f t="shared" si="412"/>
        <v>0.20760697305863707</v>
      </c>
      <c r="N295" s="179">
        <f t="shared" si="413"/>
        <v>6.7731774960380342</v>
      </c>
      <c r="O295" s="179">
        <f t="shared" si="405"/>
        <v>0.49770000000000009</v>
      </c>
      <c r="P295" s="224">
        <f t="shared" si="414"/>
        <v>1.0751075390536562</v>
      </c>
      <c r="Q295" s="224">
        <f t="shared" si="415"/>
        <v>6.3</v>
      </c>
      <c r="R295" s="224"/>
      <c r="S295" s="179">
        <f t="shared" si="416"/>
        <v>387.99078180160433</v>
      </c>
      <c r="T295" s="179">
        <f t="shared" si="417"/>
        <v>6.3</v>
      </c>
      <c r="U295" s="224">
        <f t="shared" si="418"/>
        <v>0.10654748091603056</v>
      </c>
      <c r="V295" s="224">
        <f t="shared" si="419"/>
        <v>0.11720222900763361</v>
      </c>
      <c r="W295" s="224">
        <f t="shared" si="420"/>
        <v>0.44733675193753286</v>
      </c>
      <c r="X295" s="204">
        <f t="shared" si="421"/>
        <v>350</v>
      </c>
      <c r="Y295" s="455">
        <f t="shared" si="407"/>
        <v>350</v>
      </c>
      <c r="AA295" s="224">
        <f t="shared" si="422"/>
        <v>0.539238891061395</v>
      </c>
      <c r="AB295" s="180">
        <f t="shared" si="423"/>
        <v>2.2639800769753222</v>
      </c>
      <c r="AC295" s="180">
        <f t="shared" si="424"/>
        <v>0.42728913713264249</v>
      </c>
      <c r="AD295" s="180"/>
      <c r="AE295" s="180">
        <f t="shared" si="425"/>
        <v>1.217557251908397</v>
      </c>
      <c r="AF295" s="564">
        <f t="shared" si="426"/>
        <v>223.73797427305158</v>
      </c>
      <c r="AG295" s="547">
        <f t="shared" si="427"/>
        <v>0.1235820610687023</v>
      </c>
      <c r="AI295" s="180">
        <f t="shared" si="428"/>
        <v>0.2318642684008016</v>
      </c>
      <c r="AJ295" s="180">
        <f t="shared" si="429"/>
        <v>0.28999999999999998</v>
      </c>
      <c r="AK295" s="180">
        <f t="shared" si="430"/>
        <v>1.1278502710131724</v>
      </c>
      <c r="AM295" s="564">
        <f t="shared" si="431"/>
        <v>79.000000000000014</v>
      </c>
      <c r="AN295" s="473">
        <f t="shared" si="432"/>
        <v>223.73797427305158</v>
      </c>
      <c r="AP295">
        <f t="shared" si="433"/>
        <v>79.000000000000014</v>
      </c>
      <c r="AQ295">
        <f t="shared" si="434"/>
        <v>223.73797427305158</v>
      </c>
      <c r="AS295" s="5">
        <f t="shared" si="406"/>
        <v>4.4695139627017095</v>
      </c>
      <c r="AT295" s="5">
        <f t="shared" si="435"/>
        <v>0.31900000000000001</v>
      </c>
      <c r="AU295" s="5">
        <f t="shared" si="372"/>
        <v>4.1505139627017096</v>
      </c>
      <c r="AV295" s="5"/>
      <c r="AW295" s="180">
        <f t="shared" si="373"/>
        <v>7.1372413793103467E-2</v>
      </c>
      <c r="AX295" s="180"/>
      <c r="CB295" s="582">
        <f t="shared" si="436"/>
        <v>-50</v>
      </c>
      <c r="CC295">
        <f t="shared" si="437"/>
        <v>-50</v>
      </c>
    </row>
    <row r="296" spans="5:81" x14ac:dyDescent="0.25">
      <c r="E296" s="177">
        <v>80</v>
      </c>
      <c r="F296" s="224">
        <f t="shared" si="438"/>
        <v>8.0000000000000016E-2</v>
      </c>
      <c r="G296" s="224"/>
      <c r="H296" s="224">
        <f t="shared" si="408"/>
        <v>0.50400000000000011</v>
      </c>
      <c r="I296" s="560">
        <f t="shared" si="409"/>
        <v>50</v>
      </c>
      <c r="J296" s="455">
        <f t="shared" si="410"/>
        <v>13.1</v>
      </c>
      <c r="K296" s="455">
        <f t="shared" si="411"/>
        <v>63.1</v>
      </c>
      <c r="L296" s="455"/>
      <c r="M296" s="224">
        <f t="shared" si="412"/>
        <v>0.20760697305863707</v>
      </c>
      <c r="N296" s="179">
        <f t="shared" si="413"/>
        <v>6.7731774960380342</v>
      </c>
      <c r="O296" s="179">
        <f t="shared" si="405"/>
        <v>0.50400000000000011</v>
      </c>
      <c r="P296" s="224">
        <f t="shared" si="414"/>
        <v>1.0751075390536562</v>
      </c>
      <c r="Q296" s="224">
        <f t="shared" si="415"/>
        <v>6.3</v>
      </c>
      <c r="R296" s="224"/>
      <c r="S296" s="179">
        <f t="shared" si="416"/>
        <v>382.8288151804598</v>
      </c>
      <c r="T296" s="179">
        <f t="shared" si="417"/>
        <v>6.3</v>
      </c>
      <c r="U296" s="224">
        <f t="shared" si="418"/>
        <v>0.1078961832061069</v>
      </c>
      <c r="V296" s="224">
        <f t="shared" si="419"/>
        <v>0.11868580152671761</v>
      </c>
      <c r="W296" s="224">
        <f t="shared" si="420"/>
        <v>0.4529992424683878</v>
      </c>
      <c r="X296" s="204">
        <f t="shared" si="421"/>
        <v>350</v>
      </c>
      <c r="Y296" s="455">
        <f t="shared" si="407"/>
        <v>350</v>
      </c>
      <c r="AA296" s="224">
        <f t="shared" si="422"/>
        <v>0.539238891061395</v>
      </c>
      <c r="AB296" s="180">
        <f t="shared" si="423"/>
        <v>2.2639800769753222</v>
      </c>
      <c r="AC296" s="180">
        <f t="shared" si="424"/>
        <v>0.42728913713264249</v>
      </c>
      <c r="AD296" s="180"/>
      <c r="AE296" s="180">
        <f t="shared" si="425"/>
        <v>1.217557251908397</v>
      </c>
      <c r="AF296" s="564">
        <f t="shared" si="426"/>
        <v>226.57010052967249</v>
      </c>
      <c r="AG296" s="547">
        <f t="shared" si="427"/>
        <v>0.1235820610687023</v>
      </c>
      <c r="AI296" s="180">
        <f t="shared" si="428"/>
        <v>0.23332714895947801</v>
      </c>
      <c r="AJ296" s="180">
        <f t="shared" si="429"/>
        <v>0.28999999999999998</v>
      </c>
      <c r="AK296" s="180">
        <f t="shared" si="430"/>
        <v>1.1294686288740985</v>
      </c>
      <c r="AM296" s="564">
        <f t="shared" si="431"/>
        <v>80.000000000000014</v>
      </c>
      <c r="AN296" s="473">
        <f t="shared" si="432"/>
        <v>226.57010052967249</v>
      </c>
      <c r="AP296">
        <f t="shared" si="433"/>
        <v>80.000000000000014</v>
      </c>
      <c r="AQ296">
        <f t="shared" si="434"/>
        <v>226.57010052967249</v>
      </c>
      <c r="AS296" s="5">
        <f t="shared" si="406"/>
        <v>4.413645038167938</v>
      </c>
      <c r="AT296" s="5">
        <f t="shared" si="435"/>
        <v>0.31900000000000001</v>
      </c>
      <c r="AU296" s="5">
        <f t="shared" si="372"/>
        <v>4.094645038167938</v>
      </c>
      <c r="AV296" s="5"/>
      <c r="AW296" s="180">
        <f t="shared" si="373"/>
        <v>7.2275862068965538E-2</v>
      </c>
      <c r="AX296" s="180"/>
      <c r="CB296" s="582">
        <f t="shared" si="436"/>
        <v>-50</v>
      </c>
      <c r="CC296">
        <f t="shared" si="437"/>
        <v>-50</v>
      </c>
    </row>
    <row r="297" spans="5:81" x14ac:dyDescent="0.25">
      <c r="E297" s="177">
        <v>81</v>
      </c>
      <c r="F297" s="224">
        <f t="shared" si="438"/>
        <v>8.1000000000000016E-2</v>
      </c>
      <c r="G297" s="224"/>
      <c r="H297" s="224">
        <f t="shared" si="408"/>
        <v>0.51030000000000009</v>
      </c>
      <c r="I297" s="560">
        <f t="shared" si="409"/>
        <v>50</v>
      </c>
      <c r="J297" s="455">
        <f t="shared" si="410"/>
        <v>13.1</v>
      </c>
      <c r="K297" s="455">
        <f t="shared" si="411"/>
        <v>63.1</v>
      </c>
      <c r="L297" s="455"/>
      <c r="M297" s="224">
        <f t="shared" si="412"/>
        <v>0.20760697305863707</v>
      </c>
      <c r="N297" s="179">
        <f t="shared" si="413"/>
        <v>6.7731774960380342</v>
      </c>
      <c r="O297" s="179">
        <f t="shared" si="405"/>
        <v>0.51030000000000009</v>
      </c>
      <c r="P297" s="224">
        <f t="shared" si="414"/>
        <v>1.0751075390536562</v>
      </c>
      <c r="Q297" s="224">
        <f t="shared" si="415"/>
        <v>6.3</v>
      </c>
      <c r="R297" s="224"/>
      <c r="S297" s="179">
        <f t="shared" si="416"/>
        <v>377.79431023133105</v>
      </c>
      <c r="T297" s="179">
        <f t="shared" si="417"/>
        <v>6.3</v>
      </c>
      <c r="U297" s="224">
        <f t="shared" si="418"/>
        <v>0.10924488549618323</v>
      </c>
      <c r="V297" s="224">
        <f t="shared" si="419"/>
        <v>0.12016937404580157</v>
      </c>
      <c r="W297" s="224">
        <f t="shared" si="420"/>
        <v>0.45866173299924257</v>
      </c>
      <c r="X297" s="204">
        <f t="shared" si="421"/>
        <v>350</v>
      </c>
      <c r="Y297" s="455">
        <f t="shared" si="407"/>
        <v>350</v>
      </c>
      <c r="AA297" s="224">
        <f t="shared" si="422"/>
        <v>0.539238891061395</v>
      </c>
      <c r="AB297" s="180">
        <f t="shared" si="423"/>
        <v>2.2639800769753222</v>
      </c>
      <c r="AC297" s="180">
        <f t="shared" si="424"/>
        <v>0.42728913713264249</v>
      </c>
      <c r="AD297" s="180"/>
      <c r="AE297" s="180">
        <f t="shared" si="425"/>
        <v>1.217557251908397</v>
      </c>
      <c r="AF297" s="564">
        <f t="shared" si="426"/>
        <v>229.40222678629337</v>
      </c>
      <c r="AG297" s="547">
        <f t="shared" si="427"/>
        <v>0.1235820610687023</v>
      </c>
      <c r="AI297" s="180">
        <f t="shared" si="428"/>
        <v>0.23478091473132548</v>
      </c>
      <c r="AJ297" s="180">
        <f t="shared" si="429"/>
        <v>0.28999999999999998</v>
      </c>
      <c r="AK297" s="180">
        <f t="shared" si="430"/>
        <v>1.1310869867350248</v>
      </c>
      <c r="AM297" s="564">
        <f t="shared" si="431"/>
        <v>81.000000000000014</v>
      </c>
      <c r="AN297" s="473">
        <f t="shared" si="432"/>
        <v>229.40222678629337</v>
      </c>
      <c r="AP297">
        <f t="shared" si="433"/>
        <v>81.000000000000014</v>
      </c>
      <c r="AQ297">
        <f t="shared" si="434"/>
        <v>229.40222678629337</v>
      </c>
      <c r="AS297" s="5">
        <f t="shared" si="406"/>
        <v>4.3591555932522859</v>
      </c>
      <c r="AT297" s="5">
        <f t="shared" si="435"/>
        <v>0.31900000000000001</v>
      </c>
      <c r="AU297" s="5">
        <f t="shared" si="372"/>
        <v>4.0401555932522859</v>
      </c>
      <c r="AV297" s="5"/>
      <c r="AW297" s="180">
        <f t="shared" si="373"/>
        <v>7.3179310344827581E-2</v>
      </c>
      <c r="AX297" s="180"/>
      <c r="CB297" s="582">
        <f t="shared" si="436"/>
        <v>-50</v>
      </c>
      <c r="CC297">
        <f t="shared" si="437"/>
        <v>-50</v>
      </c>
    </row>
    <row r="298" spans="5:81" x14ac:dyDescent="0.25">
      <c r="E298" s="177">
        <v>82</v>
      </c>
      <c r="F298" s="224">
        <f t="shared" si="438"/>
        <v>8.2000000000000003E-2</v>
      </c>
      <c r="G298" s="224"/>
      <c r="H298" s="224">
        <f t="shared" si="408"/>
        <v>0.51660000000000006</v>
      </c>
      <c r="I298" s="560">
        <f t="shared" si="409"/>
        <v>50</v>
      </c>
      <c r="J298" s="455">
        <f t="shared" si="410"/>
        <v>13.1</v>
      </c>
      <c r="K298" s="455">
        <f t="shared" si="411"/>
        <v>63.1</v>
      </c>
      <c r="L298" s="455"/>
      <c r="M298" s="224">
        <f t="shared" si="412"/>
        <v>0.20760697305863707</v>
      </c>
      <c r="N298" s="179">
        <f t="shared" si="413"/>
        <v>6.7731774960380342</v>
      </c>
      <c r="O298" s="179">
        <f t="shared" si="405"/>
        <v>0.51660000000000006</v>
      </c>
      <c r="P298" s="224">
        <f t="shared" si="414"/>
        <v>1.0751075390536562</v>
      </c>
      <c r="Q298" s="224">
        <f t="shared" si="415"/>
        <v>6.3</v>
      </c>
      <c r="R298" s="224"/>
      <c r="S298" s="179">
        <f t="shared" si="416"/>
        <v>372.88260373595523</v>
      </c>
      <c r="T298" s="179">
        <f t="shared" si="417"/>
        <v>6.3</v>
      </c>
      <c r="U298" s="224">
        <f t="shared" si="418"/>
        <v>0.11059358778625956</v>
      </c>
      <c r="V298" s="224">
        <f t="shared" si="419"/>
        <v>0.12165294656488553</v>
      </c>
      <c r="W298" s="224">
        <f t="shared" si="420"/>
        <v>0.46432422353009745</v>
      </c>
      <c r="X298" s="204">
        <f t="shared" si="421"/>
        <v>350</v>
      </c>
      <c r="Y298" s="455">
        <f t="shared" si="407"/>
        <v>350</v>
      </c>
      <c r="AA298" s="224">
        <f t="shared" si="422"/>
        <v>0.539238891061395</v>
      </c>
      <c r="AB298" s="180">
        <f t="shared" si="423"/>
        <v>2.2639800769753222</v>
      </c>
      <c r="AC298" s="180">
        <f t="shared" si="424"/>
        <v>0.42728913713264249</v>
      </c>
      <c r="AD298" s="180"/>
      <c r="AE298" s="180">
        <f t="shared" si="425"/>
        <v>1.217557251908397</v>
      </c>
      <c r="AF298" s="564">
        <f t="shared" si="426"/>
        <v>232.23435304291428</v>
      </c>
      <c r="AG298" s="547">
        <f t="shared" si="427"/>
        <v>0.1235820610687023</v>
      </c>
      <c r="AI298" s="180">
        <f t="shared" si="428"/>
        <v>0.23622573399737251</v>
      </c>
      <c r="AJ298" s="180">
        <f t="shared" si="429"/>
        <v>0.28999999999999998</v>
      </c>
      <c r="AK298" s="180">
        <f t="shared" si="430"/>
        <v>1.132705344595951</v>
      </c>
      <c r="AM298" s="564">
        <f t="shared" si="431"/>
        <v>82</v>
      </c>
      <c r="AN298" s="473">
        <f t="shared" si="432"/>
        <v>232.23435304291428</v>
      </c>
      <c r="AP298">
        <f t="shared" si="433"/>
        <v>82</v>
      </c>
      <c r="AQ298">
        <f t="shared" si="434"/>
        <v>232.23435304291428</v>
      </c>
      <c r="AS298" s="5">
        <f t="shared" si="406"/>
        <v>4.3059951591882326</v>
      </c>
      <c r="AT298" s="5">
        <f t="shared" si="435"/>
        <v>0.31900000000000001</v>
      </c>
      <c r="AU298" s="5">
        <f t="shared" ref="AU298:AU316" si="439">AS298-AT298</f>
        <v>3.9869951591882327</v>
      </c>
      <c r="AV298" s="5"/>
      <c r="AW298" s="180">
        <f t="shared" ref="AW298:AW316" si="440">AT298/AS298</f>
        <v>7.4082758620689665E-2</v>
      </c>
      <c r="AX298" s="180"/>
      <c r="CB298" s="582">
        <f t="shared" si="436"/>
        <v>-50</v>
      </c>
      <c r="CC298">
        <f t="shared" si="437"/>
        <v>-50</v>
      </c>
    </row>
    <row r="299" spans="5:81" x14ac:dyDescent="0.25">
      <c r="E299" s="177">
        <v>83</v>
      </c>
      <c r="F299" s="224">
        <f t="shared" si="438"/>
        <v>8.3000000000000004E-2</v>
      </c>
      <c r="G299" s="224"/>
      <c r="H299" s="224">
        <f t="shared" si="408"/>
        <v>0.52290000000000003</v>
      </c>
      <c r="I299" s="560">
        <f t="shared" si="409"/>
        <v>50</v>
      </c>
      <c r="J299" s="455">
        <f t="shared" si="410"/>
        <v>13.1</v>
      </c>
      <c r="K299" s="455">
        <f t="shared" si="411"/>
        <v>63.1</v>
      </c>
      <c r="L299" s="455"/>
      <c r="M299" s="224">
        <f t="shared" si="412"/>
        <v>0.20760697305863707</v>
      </c>
      <c r="N299" s="179">
        <f t="shared" si="413"/>
        <v>6.7731774960380342</v>
      </c>
      <c r="O299" s="179">
        <f t="shared" si="405"/>
        <v>0.52290000000000003</v>
      </c>
      <c r="P299" s="224">
        <f t="shared" si="414"/>
        <v>1.0751075390536562</v>
      </c>
      <c r="Q299" s="224">
        <f t="shared" si="415"/>
        <v>6.3</v>
      </c>
      <c r="R299" s="224"/>
      <c r="S299" s="179">
        <f t="shared" si="416"/>
        <v>368.08925720952249</v>
      </c>
      <c r="T299" s="179">
        <f t="shared" si="417"/>
        <v>6.3</v>
      </c>
      <c r="U299" s="224">
        <f t="shared" si="418"/>
        <v>0.1119422900763359</v>
      </c>
      <c r="V299" s="224">
        <f t="shared" si="419"/>
        <v>0.12313651908396947</v>
      </c>
      <c r="W299" s="224">
        <f t="shared" si="420"/>
        <v>0.46998671406095227</v>
      </c>
      <c r="X299" s="204">
        <f t="shared" si="421"/>
        <v>350</v>
      </c>
      <c r="Y299" s="455">
        <f t="shared" si="407"/>
        <v>350</v>
      </c>
      <c r="AA299" s="224">
        <f t="shared" si="422"/>
        <v>0.539238891061395</v>
      </c>
      <c r="AB299" s="180">
        <f t="shared" si="423"/>
        <v>2.2639800769753222</v>
      </c>
      <c r="AC299" s="180">
        <f t="shared" si="424"/>
        <v>0.42728913713264249</v>
      </c>
      <c r="AD299" s="180"/>
      <c r="AE299" s="180">
        <f t="shared" si="425"/>
        <v>1.217557251908397</v>
      </c>
      <c r="AF299" s="564">
        <f t="shared" si="426"/>
        <v>235.06647929953516</v>
      </c>
      <c r="AG299" s="547">
        <f t="shared" si="427"/>
        <v>0.1235820610687023</v>
      </c>
      <c r="AI299" s="180">
        <f t="shared" si="428"/>
        <v>0.23766176992338686</v>
      </c>
      <c r="AJ299" s="180">
        <f t="shared" si="429"/>
        <v>0.28999999999999998</v>
      </c>
      <c r="AK299" s="180">
        <f t="shared" si="430"/>
        <v>1.1343237024568773</v>
      </c>
      <c r="AM299" s="564">
        <f t="shared" si="431"/>
        <v>83</v>
      </c>
      <c r="AN299" s="473">
        <f t="shared" si="432"/>
        <v>235.06647929953516</v>
      </c>
      <c r="AP299">
        <f t="shared" si="433"/>
        <v>83</v>
      </c>
      <c r="AQ299">
        <f t="shared" si="434"/>
        <v>235.06647929953516</v>
      </c>
      <c r="AS299" s="5">
        <f t="shared" si="406"/>
        <v>4.2541156994389775</v>
      </c>
      <c r="AT299" s="5">
        <f t="shared" si="435"/>
        <v>0.31900000000000001</v>
      </c>
      <c r="AU299" s="5">
        <f t="shared" si="439"/>
        <v>3.9351156994389775</v>
      </c>
      <c r="AV299" s="5"/>
      <c r="AW299" s="180">
        <f t="shared" si="440"/>
        <v>7.4986206896551721E-2</v>
      </c>
      <c r="AX299" s="180"/>
      <c r="CB299" s="582">
        <f t="shared" si="436"/>
        <v>-50</v>
      </c>
      <c r="CC299">
        <f t="shared" si="437"/>
        <v>-50</v>
      </c>
    </row>
    <row r="300" spans="5:81" x14ac:dyDescent="0.25">
      <c r="E300" s="177">
        <v>84</v>
      </c>
      <c r="F300" s="224">
        <f t="shared" si="438"/>
        <v>8.4000000000000005E-2</v>
      </c>
      <c r="G300" s="224"/>
      <c r="H300" s="224">
        <f t="shared" si="408"/>
        <v>0.5292</v>
      </c>
      <c r="I300" s="560">
        <f t="shared" si="409"/>
        <v>50</v>
      </c>
      <c r="J300" s="455">
        <f t="shared" si="410"/>
        <v>13.1</v>
      </c>
      <c r="K300" s="455">
        <f t="shared" si="411"/>
        <v>63.1</v>
      </c>
      <c r="L300" s="455"/>
      <c r="M300" s="224">
        <f t="shared" si="412"/>
        <v>0.20760697305863707</v>
      </c>
      <c r="N300" s="179">
        <f t="shared" si="413"/>
        <v>6.7731774960380342</v>
      </c>
      <c r="O300" s="179">
        <f t="shared" si="405"/>
        <v>0.5292</v>
      </c>
      <c r="P300" s="224">
        <f t="shared" si="414"/>
        <v>1.0751075390536562</v>
      </c>
      <c r="Q300" s="224">
        <f t="shared" si="415"/>
        <v>6.3</v>
      </c>
      <c r="R300" s="224"/>
      <c r="S300" s="179">
        <f t="shared" si="416"/>
        <v>363.41004352368532</v>
      </c>
      <c r="T300" s="179">
        <f t="shared" si="417"/>
        <v>6.3</v>
      </c>
      <c r="U300" s="224">
        <f t="shared" si="418"/>
        <v>0.11329099236641223</v>
      </c>
      <c r="V300" s="224">
        <f t="shared" si="419"/>
        <v>0.12462009160305344</v>
      </c>
      <c r="W300" s="224">
        <f t="shared" si="420"/>
        <v>0.4756492045918071</v>
      </c>
      <c r="X300" s="204">
        <f t="shared" si="421"/>
        <v>350</v>
      </c>
      <c r="Y300" s="455">
        <f t="shared" si="407"/>
        <v>350</v>
      </c>
      <c r="AA300" s="224">
        <f t="shared" si="422"/>
        <v>0.539238891061395</v>
      </c>
      <c r="AB300" s="180">
        <f t="shared" si="423"/>
        <v>2.2639800769753222</v>
      </c>
      <c r="AC300" s="180">
        <f t="shared" si="424"/>
        <v>0.42728913713264249</v>
      </c>
      <c r="AD300" s="180"/>
      <c r="AE300" s="180">
        <f t="shared" si="425"/>
        <v>1.217557251908397</v>
      </c>
      <c r="AF300" s="564">
        <f t="shared" si="426"/>
        <v>237.89860555615607</v>
      </c>
      <c r="AG300" s="547">
        <f t="shared" si="427"/>
        <v>0.1235820610687023</v>
      </c>
      <c r="AI300" s="180">
        <f t="shared" si="428"/>
        <v>0.23908918077494926</v>
      </c>
      <c r="AJ300" s="180">
        <f t="shared" si="429"/>
        <v>0.28999999999999998</v>
      </c>
      <c r="AK300" s="180">
        <f t="shared" si="430"/>
        <v>1.1359420603178034</v>
      </c>
      <c r="AM300" s="564">
        <f t="shared" si="431"/>
        <v>84</v>
      </c>
      <c r="AN300" s="473">
        <f t="shared" si="432"/>
        <v>237.89860555615607</v>
      </c>
      <c r="AP300">
        <f t="shared" si="433"/>
        <v>84</v>
      </c>
      <c r="AQ300">
        <f t="shared" si="434"/>
        <v>237.89860555615607</v>
      </c>
      <c r="AS300" s="5">
        <f t="shared" si="406"/>
        <v>4.2034714649218472</v>
      </c>
      <c r="AT300" s="5">
        <f t="shared" si="435"/>
        <v>0.31900000000000001</v>
      </c>
      <c r="AU300" s="5">
        <f t="shared" si="439"/>
        <v>3.8844714649218473</v>
      </c>
      <c r="AV300" s="5"/>
      <c r="AW300" s="180">
        <f t="shared" si="440"/>
        <v>7.5889655172413778E-2</v>
      </c>
      <c r="AX300" s="180"/>
      <c r="CB300" s="582">
        <f t="shared" si="436"/>
        <v>-50</v>
      </c>
      <c r="CC300">
        <f t="shared" si="437"/>
        <v>-50</v>
      </c>
    </row>
    <row r="301" spans="5:81" x14ac:dyDescent="0.25">
      <c r="E301" s="177">
        <v>85</v>
      </c>
      <c r="F301" s="224">
        <f t="shared" si="438"/>
        <v>8.5000000000000006E-2</v>
      </c>
      <c r="G301" s="224"/>
      <c r="H301" s="224">
        <f t="shared" si="408"/>
        <v>0.53549999999999998</v>
      </c>
      <c r="I301" s="560">
        <f t="shared" si="409"/>
        <v>50</v>
      </c>
      <c r="J301" s="455">
        <f t="shared" si="410"/>
        <v>13.1</v>
      </c>
      <c r="K301" s="455">
        <f t="shared" si="411"/>
        <v>63.1</v>
      </c>
      <c r="L301" s="455"/>
      <c r="M301" s="224">
        <f t="shared" si="412"/>
        <v>0.20760697305863707</v>
      </c>
      <c r="N301" s="179">
        <f t="shared" si="413"/>
        <v>6.7731774960380342</v>
      </c>
      <c r="O301" s="179">
        <f t="shared" si="405"/>
        <v>0.53549999999999998</v>
      </c>
      <c r="P301" s="224">
        <f t="shared" si="414"/>
        <v>1.0751075390536562</v>
      </c>
      <c r="Q301" s="224">
        <f t="shared" si="415"/>
        <v>6.3</v>
      </c>
      <c r="R301" s="224"/>
      <c r="S301" s="179">
        <f t="shared" si="416"/>
        <v>358.84093447382548</v>
      </c>
      <c r="T301" s="179">
        <f t="shared" si="417"/>
        <v>6.3</v>
      </c>
      <c r="U301" s="224">
        <f t="shared" si="418"/>
        <v>0.11463969465648856</v>
      </c>
      <c r="V301" s="224">
        <f t="shared" si="419"/>
        <v>0.12610366412213742</v>
      </c>
      <c r="W301" s="224">
        <f t="shared" si="420"/>
        <v>0.48131169512266192</v>
      </c>
      <c r="X301" s="204">
        <f t="shared" si="421"/>
        <v>350</v>
      </c>
      <c r="Y301" s="455">
        <f t="shared" si="407"/>
        <v>350</v>
      </c>
      <c r="AA301" s="224">
        <f t="shared" si="422"/>
        <v>0.539238891061395</v>
      </c>
      <c r="AB301" s="180">
        <f t="shared" si="423"/>
        <v>2.2639800769753222</v>
      </c>
      <c r="AC301" s="180">
        <f t="shared" si="424"/>
        <v>0.42728913713264249</v>
      </c>
      <c r="AD301" s="180"/>
      <c r="AE301" s="180">
        <f t="shared" si="425"/>
        <v>1.217557251908397</v>
      </c>
      <c r="AF301" s="564">
        <f t="shared" si="426"/>
        <v>240.73073181277698</v>
      </c>
      <c r="AG301" s="547">
        <f t="shared" si="427"/>
        <v>0.1235820610687023</v>
      </c>
      <c r="AI301" s="180">
        <f t="shared" si="428"/>
        <v>0.24050812012103842</v>
      </c>
      <c r="AJ301" s="180">
        <f t="shared" si="429"/>
        <v>0.28999999999999998</v>
      </c>
      <c r="AK301" s="180">
        <f t="shared" si="430"/>
        <v>1.1375604181787298</v>
      </c>
      <c r="AM301" s="564">
        <f t="shared" si="431"/>
        <v>85</v>
      </c>
      <c r="AN301" s="473">
        <f t="shared" si="432"/>
        <v>240.73073181277698</v>
      </c>
      <c r="AP301">
        <f t="shared" si="433"/>
        <v>85</v>
      </c>
      <c r="AQ301">
        <f t="shared" si="434"/>
        <v>240.73073181277698</v>
      </c>
      <c r="AS301" s="5">
        <f t="shared" si="406"/>
        <v>4.1540188594521785</v>
      </c>
      <c r="AT301" s="5">
        <f t="shared" si="435"/>
        <v>0.31900000000000001</v>
      </c>
      <c r="AU301" s="5">
        <f t="shared" si="439"/>
        <v>3.8350188594521786</v>
      </c>
      <c r="AV301" s="5"/>
      <c r="AW301" s="180">
        <f t="shared" si="440"/>
        <v>7.6793103448275848E-2</v>
      </c>
      <c r="AX301" s="180"/>
      <c r="CB301" s="582">
        <f t="shared" si="436"/>
        <v>-50</v>
      </c>
      <c r="CC301">
        <f t="shared" si="437"/>
        <v>-50</v>
      </c>
    </row>
    <row r="302" spans="5:81" x14ac:dyDescent="0.25">
      <c r="E302" s="177">
        <v>86</v>
      </c>
      <c r="F302" s="224">
        <f t="shared" si="438"/>
        <v>8.6000000000000007E-2</v>
      </c>
      <c r="G302" s="224"/>
      <c r="H302" s="224">
        <f t="shared" si="408"/>
        <v>0.54180000000000006</v>
      </c>
      <c r="I302" s="560">
        <f t="shared" si="409"/>
        <v>50</v>
      </c>
      <c r="J302" s="455">
        <f t="shared" si="410"/>
        <v>13.1</v>
      </c>
      <c r="K302" s="455">
        <f t="shared" si="411"/>
        <v>63.1</v>
      </c>
      <c r="L302" s="455"/>
      <c r="M302" s="224">
        <f t="shared" si="412"/>
        <v>0.20760697305863707</v>
      </c>
      <c r="N302" s="179">
        <f t="shared" si="413"/>
        <v>6.7731774960380342</v>
      </c>
      <c r="O302" s="179">
        <f t="shared" si="405"/>
        <v>0.54180000000000006</v>
      </c>
      <c r="P302" s="224">
        <f t="shared" si="414"/>
        <v>1.0751075390536562</v>
      </c>
      <c r="Q302" s="224">
        <f t="shared" si="415"/>
        <v>6.3</v>
      </c>
      <c r="R302" s="224"/>
      <c r="S302" s="179">
        <f t="shared" si="416"/>
        <v>354.37808921372113</v>
      </c>
      <c r="T302" s="179">
        <f t="shared" si="417"/>
        <v>6.3</v>
      </c>
      <c r="U302" s="224">
        <f t="shared" si="418"/>
        <v>0.1159883969465649</v>
      </c>
      <c r="V302" s="224">
        <f t="shared" si="419"/>
        <v>0.1275872366412214</v>
      </c>
      <c r="W302" s="224">
        <f t="shared" si="420"/>
        <v>0.48697418565351686</v>
      </c>
      <c r="X302" s="204">
        <f t="shared" si="421"/>
        <v>350</v>
      </c>
      <c r="Y302" s="455">
        <f t="shared" si="407"/>
        <v>350</v>
      </c>
      <c r="AA302" s="224">
        <f t="shared" si="422"/>
        <v>0.539238891061395</v>
      </c>
      <c r="AB302" s="180">
        <f t="shared" si="423"/>
        <v>2.2639800769753222</v>
      </c>
      <c r="AC302" s="180">
        <f t="shared" si="424"/>
        <v>0.42728913713264249</v>
      </c>
      <c r="AD302" s="180"/>
      <c r="AE302" s="180">
        <f t="shared" si="425"/>
        <v>1.217557251908397</v>
      </c>
      <c r="AF302" s="564">
        <f t="shared" si="426"/>
        <v>243.56285806939789</v>
      </c>
      <c r="AG302" s="547">
        <f t="shared" si="427"/>
        <v>0.1235820610687023</v>
      </c>
      <c r="AI302" s="180">
        <f t="shared" si="428"/>
        <v>0.24191873702686884</v>
      </c>
      <c r="AJ302" s="180">
        <f t="shared" si="429"/>
        <v>0.28999999999999998</v>
      </c>
      <c r="AK302" s="180">
        <f t="shared" si="430"/>
        <v>1.1391787760396559</v>
      </c>
      <c r="AM302" s="564">
        <f t="shared" si="431"/>
        <v>86</v>
      </c>
      <c r="AN302" s="473">
        <f t="shared" si="432"/>
        <v>243.56285806939789</v>
      </c>
      <c r="AP302">
        <f t="shared" si="433"/>
        <v>86</v>
      </c>
      <c r="AQ302">
        <f t="shared" si="434"/>
        <v>243.56285806939789</v>
      </c>
      <c r="AS302" s="5">
        <f t="shared" si="406"/>
        <v>4.1057163145748268</v>
      </c>
      <c r="AT302" s="5">
        <f t="shared" si="435"/>
        <v>0.31900000000000001</v>
      </c>
      <c r="AU302" s="5">
        <f t="shared" si="439"/>
        <v>3.7867163145748268</v>
      </c>
      <c r="AV302" s="5"/>
      <c r="AW302" s="180">
        <f t="shared" si="440"/>
        <v>7.7696551724137933E-2</v>
      </c>
      <c r="AX302" s="180"/>
      <c r="CB302" s="582">
        <f t="shared" si="436"/>
        <v>-50</v>
      </c>
      <c r="CC302">
        <f t="shared" si="437"/>
        <v>-50</v>
      </c>
    </row>
    <row r="303" spans="5:81" x14ac:dyDescent="0.25">
      <c r="E303" s="177">
        <v>87</v>
      </c>
      <c r="F303" s="224">
        <f t="shared" si="438"/>
        <v>8.7000000000000008E-2</v>
      </c>
      <c r="G303" s="224"/>
      <c r="H303" s="224">
        <f t="shared" si="408"/>
        <v>0.54810000000000003</v>
      </c>
      <c r="I303" s="560">
        <f t="shared" si="409"/>
        <v>50</v>
      </c>
      <c r="J303" s="455">
        <f t="shared" si="410"/>
        <v>13.1</v>
      </c>
      <c r="K303" s="455">
        <f t="shared" si="411"/>
        <v>63.1</v>
      </c>
      <c r="L303" s="455"/>
      <c r="M303" s="224">
        <f t="shared" si="412"/>
        <v>0.20760697305863707</v>
      </c>
      <c r="N303" s="179">
        <f t="shared" si="413"/>
        <v>6.7731774960380342</v>
      </c>
      <c r="O303" s="179">
        <f t="shared" si="405"/>
        <v>0.54810000000000003</v>
      </c>
      <c r="P303" s="224">
        <f t="shared" si="414"/>
        <v>1.0751075390536562</v>
      </c>
      <c r="Q303" s="224">
        <f t="shared" si="415"/>
        <v>6.3</v>
      </c>
      <c r="R303" s="224"/>
      <c r="S303" s="179">
        <f t="shared" si="416"/>
        <v>350.0178434878228</v>
      </c>
      <c r="T303" s="179">
        <f t="shared" si="417"/>
        <v>6.3</v>
      </c>
      <c r="U303" s="224">
        <f t="shared" si="418"/>
        <v>0.11733709923664123</v>
      </c>
      <c r="V303" s="224">
        <f t="shared" si="419"/>
        <v>0.12907080916030536</v>
      </c>
      <c r="W303" s="224">
        <f t="shared" si="420"/>
        <v>0.49263667618437168</v>
      </c>
      <c r="X303" s="204">
        <f t="shared" si="421"/>
        <v>350</v>
      </c>
      <c r="Y303" s="455">
        <f t="shared" si="407"/>
        <v>350</v>
      </c>
      <c r="AA303" s="224">
        <f t="shared" si="422"/>
        <v>0.539238891061395</v>
      </c>
      <c r="AB303" s="180">
        <f t="shared" si="423"/>
        <v>2.2639800769753222</v>
      </c>
      <c r="AC303" s="180">
        <f t="shared" si="424"/>
        <v>0.42728913713264249</v>
      </c>
      <c r="AD303" s="180"/>
      <c r="AE303" s="180">
        <f t="shared" si="425"/>
        <v>1.217557251908397</v>
      </c>
      <c r="AF303" s="564">
        <f t="shared" si="426"/>
        <v>246.3949843260188</v>
      </c>
      <c r="AG303" s="547">
        <f t="shared" si="427"/>
        <v>0.1235820610687023</v>
      </c>
      <c r="AI303" s="180">
        <f t="shared" si="428"/>
        <v>0.24332117623666627</v>
      </c>
      <c r="AJ303" s="180">
        <f t="shared" si="429"/>
        <v>0.28999999999999998</v>
      </c>
      <c r="AK303" s="180">
        <f t="shared" si="430"/>
        <v>1.1407971339005822</v>
      </c>
      <c r="AM303" s="564">
        <f t="shared" si="431"/>
        <v>87.000000000000014</v>
      </c>
      <c r="AN303" s="473">
        <f t="shared" si="432"/>
        <v>246.3949843260188</v>
      </c>
      <c r="AP303">
        <f t="shared" si="433"/>
        <v>87.000000000000014</v>
      </c>
      <c r="AQ303">
        <f t="shared" si="434"/>
        <v>246.3949843260188</v>
      </c>
      <c r="AS303" s="5">
        <f t="shared" si="406"/>
        <v>4.0585241730279904</v>
      </c>
      <c r="AT303" s="5">
        <f t="shared" si="435"/>
        <v>0.31900000000000001</v>
      </c>
      <c r="AU303" s="5">
        <f t="shared" si="439"/>
        <v>3.7395241730279905</v>
      </c>
      <c r="AV303" s="5"/>
      <c r="AW303" s="180">
        <f t="shared" si="440"/>
        <v>7.8599999999999989E-2</v>
      </c>
      <c r="AX303" s="180"/>
      <c r="CB303" s="582">
        <f t="shared" si="436"/>
        <v>-50</v>
      </c>
      <c r="CC303">
        <f t="shared" si="437"/>
        <v>-50</v>
      </c>
    </row>
    <row r="304" spans="5:81" x14ac:dyDescent="0.25">
      <c r="E304" s="177">
        <v>88</v>
      </c>
      <c r="F304" s="224">
        <f t="shared" si="438"/>
        <v>8.8000000000000009E-2</v>
      </c>
      <c r="G304" s="224"/>
      <c r="H304" s="224">
        <f t="shared" si="408"/>
        <v>0.5544</v>
      </c>
      <c r="I304" s="560">
        <f t="shared" si="409"/>
        <v>50</v>
      </c>
      <c r="J304" s="455">
        <f t="shared" si="410"/>
        <v>13.1</v>
      </c>
      <c r="K304" s="455">
        <f t="shared" si="411"/>
        <v>63.1</v>
      </c>
      <c r="L304" s="455"/>
      <c r="M304" s="224">
        <f t="shared" si="412"/>
        <v>0.20760697305863707</v>
      </c>
      <c r="N304" s="179">
        <f t="shared" si="413"/>
        <v>6.7731774960380342</v>
      </c>
      <c r="O304" s="179">
        <f t="shared" si="405"/>
        <v>0.5544</v>
      </c>
      <c r="P304" s="224">
        <f t="shared" si="414"/>
        <v>1.0751075390536562</v>
      </c>
      <c r="Q304" s="224">
        <f t="shared" si="415"/>
        <v>6.3</v>
      </c>
      <c r="R304" s="224"/>
      <c r="S304" s="179">
        <f t="shared" si="416"/>
        <v>345.756699597693</v>
      </c>
      <c r="T304" s="179">
        <f t="shared" si="417"/>
        <v>6.3</v>
      </c>
      <c r="U304" s="224">
        <f t="shared" si="418"/>
        <v>0.11868580152671757</v>
      </c>
      <c r="V304" s="224">
        <f t="shared" si="419"/>
        <v>0.13055438167938932</v>
      </c>
      <c r="W304" s="224">
        <f t="shared" si="420"/>
        <v>0.49829916671522645</v>
      </c>
      <c r="X304" s="204">
        <f t="shared" si="421"/>
        <v>350</v>
      </c>
      <c r="Y304" s="455">
        <f t="shared" si="407"/>
        <v>350</v>
      </c>
      <c r="AA304" s="224">
        <f t="shared" si="422"/>
        <v>0.539238891061395</v>
      </c>
      <c r="AB304" s="180">
        <f t="shared" si="423"/>
        <v>2.2639800769753222</v>
      </c>
      <c r="AC304" s="180">
        <f t="shared" si="424"/>
        <v>0.42728913713264249</v>
      </c>
      <c r="AD304" s="180"/>
      <c r="AE304" s="180">
        <f t="shared" si="425"/>
        <v>1.217557251908397</v>
      </c>
      <c r="AF304" s="564">
        <f t="shared" si="426"/>
        <v>249.22711058263968</v>
      </c>
      <c r="AG304" s="547">
        <f t="shared" si="427"/>
        <v>0.1235820610687023</v>
      </c>
      <c r="AI304" s="180">
        <f t="shared" si="428"/>
        <v>0.24471557834701552</v>
      </c>
      <c r="AJ304" s="180">
        <f t="shared" si="429"/>
        <v>0.28999999999999998</v>
      </c>
      <c r="AK304" s="180">
        <f t="shared" si="430"/>
        <v>1.1424154917615084</v>
      </c>
      <c r="AM304" s="564">
        <f t="shared" si="431"/>
        <v>88.000000000000014</v>
      </c>
      <c r="AN304" s="473">
        <f t="shared" si="432"/>
        <v>249.22711058263968</v>
      </c>
      <c r="AP304">
        <f t="shared" si="433"/>
        <v>88.000000000000014</v>
      </c>
      <c r="AQ304">
        <f t="shared" si="434"/>
        <v>249.22711058263968</v>
      </c>
      <c r="AS304" s="5">
        <f t="shared" si="406"/>
        <v>4.0124045801526727</v>
      </c>
      <c r="AT304" s="5">
        <f t="shared" si="435"/>
        <v>0.31900000000000001</v>
      </c>
      <c r="AU304" s="5">
        <f t="shared" si="439"/>
        <v>3.6934045801526727</v>
      </c>
      <c r="AV304" s="5"/>
      <c r="AW304" s="180">
        <f t="shared" si="440"/>
        <v>7.9503448275862046E-2</v>
      </c>
      <c r="AX304" s="180"/>
      <c r="CB304" s="582">
        <f t="shared" si="436"/>
        <v>-50</v>
      </c>
      <c r="CC304">
        <f t="shared" si="437"/>
        <v>-50</v>
      </c>
    </row>
    <row r="305" spans="5:81" x14ac:dyDescent="0.25">
      <c r="E305" s="177">
        <v>89</v>
      </c>
      <c r="F305" s="224">
        <f t="shared" si="438"/>
        <v>8.900000000000001E-2</v>
      </c>
      <c r="G305" s="224"/>
      <c r="H305" s="224">
        <f t="shared" si="408"/>
        <v>0.56070000000000009</v>
      </c>
      <c r="I305" s="560">
        <f t="shared" si="409"/>
        <v>50</v>
      </c>
      <c r="J305" s="455">
        <f t="shared" si="410"/>
        <v>13.1</v>
      </c>
      <c r="K305" s="455">
        <f t="shared" si="411"/>
        <v>63.1</v>
      </c>
      <c r="L305" s="455"/>
      <c r="M305" s="224">
        <f t="shared" si="412"/>
        <v>0.20760697305863707</v>
      </c>
      <c r="N305" s="179">
        <f t="shared" si="413"/>
        <v>6.7731774960380342</v>
      </c>
      <c r="O305" s="179">
        <f t="shared" si="405"/>
        <v>0.56070000000000009</v>
      </c>
      <c r="P305" s="224">
        <f t="shared" si="414"/>
        <v>1.0751075390536562</v>
      </c>
      <c r="Q305" s="224">
        <f t="shared" si="415"/>
        <v>6.3</v>
      </c>
      <c r="R305" s="224"/>
      <c r="S305" s="179">
        <f t="shared" si="416"/>
        <v>341.59131704486504</v>
      </c>
      <c r="T305" s="179">
        <f t="shared" si="417"/>
        <v>6.3</v>
      </c>
      <c r="U305" s="224">
        <f t="shared" si="418"/>
        <v>0.12003450381679392</v>
      </c>
      <c r="V305" s="224">
        <f t="shared" si="419"/>
        <v>0.13203795419847331</v>
      </c>
      <c r="W305" s="224">
        <f t="shared" si="420"/>
        <v>0.50396165724608133</v>
      </c>
      <c r="X305" s="204">
        <f t="shared" si="421"/>
        <v>350</v>
      </c>
      <c r="Y305" s="455">
        <f t="shared" si="407"/>
        <v>350</v>
      </c>
      <c r="AA305" s="224">
        <f t="shared" si="422"/>
        <v>0.539238891061395</v>
      </c>
      <c r="AB305" s="180">
        <f t="shared" si="423"/>
        <v>2.2639800769753222</v>
      </c>
      <c r="AC305" s="180">
        <f t="shared" si="424"/>
        <v>0.42728913713264249</v>
      </c>
      <c r="AD305" s="180"/>
      <c r="AE305" s="180">
        <f t="shared" si="425"/>
        <v>1.217557251908397</v>
      </c>
      <c r="AF305" s="564">
        <f t="shared" si="426"/>
        <v>252.05923683926062</v>
      </c>
      <c r="AG305" s="547">
        <f t="shared" si="427"/>
        <v>0.1235820610687023</v>
      </c>
      <c r="AI305" s="180">
        <f t="shared" si="428"/>
        <v>0.24610207997136832</v>
      </c>
      <c r="AJ305" s="180">
        <f t="shared" si="429"/>
        <v>0.28999999999999998</v>
      </c>
      <c r="AK305" s="180">
        <f t="shared" si="430"/>
        <v>1.1440338496224347</v>
      </c>
      <c r="AM305" s="564">
        <f t="shared" si="431"/>
        <v>89.000000000000014</v>
      </c>
      <c r="AN305" s="473">
        <f t="shared" si="432"/>
        <v>252.05923683926062</v>
      </c>
      <c r="AP305">
        <f t="shared" si="433"/>
        <v>89.000000000000014</v>
      </c>
      <c r="AQ305">
        <f t="shared" si="434"/>
        <v>252.05923683926062</v>
      </c>
      <c r="AS305" s="5">
        <f t="shared" si="406"/>
        <v>3.9673213826228668</v>
      </c>
      <c r="AT305" s="5">
        <f t="shared" si="435"/>
        <v>0.31900000000000001</v>
      </c>
      <c r="AU305" s="5">
        <f t="shared" si="439"/>
        <v>3.6483213826228669</v>
      </c>
      <c r="AV305" s="5"/>
      <c r="AW305" s="180">
        <f t="shared" si="440"/>
        <v>8.040689655172413E-2</v>
      </c>
      <c r="AX305" s="180"/>
      <c r="CB305" s="582">
        <f t="shared" si="436"/>
        <v>-50</v>
      </c>
      <c r="CC305">
        <f t="shared" si="437"/>
        <v>-50</v>
      </c>
    </row>
    <row r="306" spans="5:81" x14ac:dyDescent="0.25">
      <c r="E306" s="177">
        <v>90</v>
      </c>
      <c r="F306" s="224">
        <f t="shared" si="438"/>
        <v>9.0000000000000011E-2</v>
      </c>
      <c r="G306" s="224"/>
      <c r="H306" s="224">
        <f t="shared" si="408"/>
        <v>0.56700000000000006</v>
      </c>
      <c r="I306" s="560">
        <f t="shared" si="409"/>
        <v>50</v>
      </c>
      <c r="J306" s="455">
        <f t="shared" si="410"/>
        <v>13.1</v>
      </c>
      <c r="K306" s="455">
        <f t="shared" si="411"/>
        <v>63.1</v>
      </c>
      <c r="L306" s="455"/>
      <c r="M306" s="224">
        <f t="shared" si="412"/>
        <v>0.20760697305863707</v>
      </c>
      <c r="N306" s="179">
        <f t="shared" si="413"/>
        <v>6.7731774960380342</v>
      </c>
      <c r="O306" s="179">
        <f t="shared" si="405"/>
        <v>0.56700000000000006</v>
      </c>
      <c r="P306" s="224">
        <f t="shared" si="414"/>
        <v>1.0751075390536562</v>
      </c>
      <c r="Q306" s="224">
        <f t="shared" si="415"/>
        <v>6.3</v>
      </c>
      <c r="R306" s="224"/>
      <c r="S306" s="179">
        <f t="shared" si="416"/>
        <v>337.51850379751136</v>
      </c>
      <c r="T306" s="179">
        <f t="shared" si="417"/>
        <v>6.3</v>
      </c>
      <c r="U306" s="224">
        <f t="shared" si="418"/>
        <v>0.12138320610687026</v>
      </c>
      <c r="V306" s="224">
        <f t="shared" si="419"/>
        <v>0.13352152671755729</v>
      </c>
      <c r="W306" s="224">
        <f t="shared" si="420"/>
        <v>0.50962414777693632</v>
      </c>
      <c r="X306" s="204">
        <f t="shared" si="421"/>
        <v>350</v>
      </c>
      <c r="Y306" s="455">
        <f t="shared" si="407"/>
        <v>350</v>
      </c>
      <c r="AA306" s="224">
        <f t="shared" si="422"/>
        <v>0.539238891061395</v>
      </c>
      <c r="AB306" s="180">
        <f t="shared" si="423"/>
        <v>2.2639800769753222</v>
      </c>
      <c r="AC306" s="180">
        <f t="shared" si="424"/>
        <v>0.42728913713264249</v>
      </c>
      <c r="AD306" s="180"/>
      <c r="AE306" s="180">
        <f t="shared" si="425"/>
        <v>1.217557251908397</v>
      </c>
      <c r="AF306" s="564">
        <f t="shared" si="426"/>
        <v>254.89136309588153</v>
      </c>
      <c r="AG306" s="547">
        <f t="shared" si="427"/>
        <v>0.1235820610687023</v>
      </c>
      <c r="AI306" s="180">
        <f t="shared" si="428"/>
        <v>0.2474808138962559</v>
      </c>
      <c r="AJ306" s="180">
        <f t="shared" si="429"/>
        <v>0.28999999999999998</v>
      </c>
      <c r="AK306" s="180">
        <f t="shared" si="430"/>
        <v>1.1456522074833608</v>
      </c>
      <c r="AM306" s="564">
        <f t="shared" si="431"/>
        <v>90.000000000000014</v>
      </c>
      <c r="AN306" s="473">
        <f t="shared" si="432"/>
        <v>254.89136309588153</v>
      </c>
      <c r="AP306">
        <f t="shared" si="433"/>
        <v>90.000000000000014</v>
      </c>
      <c r="AQ306">
        <f t="shared" si="434"/>
        <v>254.89136309588153</v>
      </c>
      <c r="AS306" s="5">
        <f t="shared" si="406"/>
        <v>3.923240033927057</v>
      </c>
      <c r="AT306" s="5">
        <f t="shared" si="435"/>
        <v>0.31900000000000001</v>
      </c>
      <c r="AU306" s="5">
        <f t="shared" si="439"/>
        <v>3.6042400339270571</v>
      </c>
      <c r="AV306" s="5"/>
      <c r="AW306" s="180">
        <f t="shared" si="440"/>
        <v>8.1310344827586201E-2</v>
      </c>
      <c r="AX306" s="180"/>
      <c r="CB306" s="582">
        <f t="shared" si="436"/>
        <v>-50</v>
      </c>
      <c r="CC306">
        <f t="shared" si="437"/>
        <v>-50</v>
      </c>
    </row>
    <row r="307" spans="5:81" x14ac:dyDescent="0.25">
      <c r="E307" s="177">
        <v>91</v>
      </c>
      <c r="F307" s="224">
        <f t="shared" si="438"/>
        <v>9.1000000000000011E-2</v>
      </c>
      <c r="G307" s="224"/>
      <c r="H307" s="224">
        <f t="shared" si="408"/>
        <v>0.57330000000000003</v>
      </c>
      <c r="I307" s="560">
        <f t="shared" si="409"/>
        <v>50</v>
      </c>
      <c r="J307" s="455">
        <f t="shared" si="410"/>
        <v>13.1</v>
      </c>
      <c r="K307" s="455">
        <f t="shared" si="411"/>
        <v>63.1</v>
      </c>
      <c r="L307" s="455"/>
      <c r="M307" s="224">
        <f t="shared" si="412"/>
        <v>0.20760697305863707</v>
      </c>
      <c r="N307" s="179">
        <f t="shared" si="413"/>
        <v>6.7731774960380342</v>
      </c>
      <c r="O307" s="179">
        <f t="shared" si="405"/>
        <v>0.57330000000000003</v>
      </c>
      <c r="P307" s="224">
        <f t="shared" si="414"/>
        <v>1.0751075390536562</v>
      </c>
      <c r="Q307" s="224">
        <f t="shared" si="415"/>
        <v>6.3</v>
      </c>
      <c r="R307" s="224"/>
      <c r="S307" s="179">
        <f t="shared" si="416"/>
        <v>333.53520813293653</v>
      </c>
      <c r="T307" s="179">
        <f t="shared" si="417"/>
        <v>6.3</v>
      </c>
      <c r="U307" s="224">
        <f t="shared" si="418"/>
        <v>0.12273190839694659</v>
      </c>
      <c r="V307" s="224">
        <f t="shared" si="419"/>
        <v>0.13500509923664125</v>
      </c>
      <c r="W307" s="224">
        <f t="shared" si="420"/>
        <v>0.51528663830779098</v>
      </c>
      <c r="X307" s="204">
        <f t="shared" si="421"/>
        <v>350</v>
      </c>
      <c r="Y307" s="455">
        <f t="shared" si="407"/>
        <v>350</v>
      </c>
      <c r="AA307" s="224">
        <f t="shared" si="422"/>
        <v>0.539238891061395</v>
      </c>
      <c r="AB307" s="180">
        <f t="shared" si="423"/>
        <v>2.2639800769753222</v>
      </c>
      <c r="AC307" s="180">
        <f t="shared" si="424"/>
        <v>0.42728913713264249</v>
      </c>
      <c r="AD307" s="180"/>
      <c r="AE307" s="180">
        <f t="shared" si="425"/>
        <v>1.217557251908397</v>
      </c>
      <c r="AF307" s="564">
        <f t="shared" si="426"/>
        <v>257.72348935250244</v>
      </c>
      <c r="AG307" s="547">
        <f t="shared" si="427"/>
        <v>0.1235820610687023</v>
      </c>
      <c r="AI307" s="180">
        <f t="shared" si="428"/>
        <v>0.24885190922971182</v>
      </c>
      <c r="AJ307" s="180">
        <f t="shared" si="429"/>
        <v>0.28999999999999998</v>
      </c>
      <c r="AK307" s="180">
        <f t="shared" si="430"/>
        <v>1.1472705653442872</v>
      </c>
      <c r="AM307" s="564">
        <f t="shared" si="431"/>
        <v>91.000000000000014</v>
      </c>
      <c r="AN307" s="473">
        <f t="shared" si="432"/>
        <v>257.72348935250244</v>
      </c>
      <c r="AP307">
        <f t="shared" si="433"/>
        <v>91.000000000000014</v>
      </c>
      <c r="AQ307">
        <f t="shared" si="434"/>
        <v>257.72348935250244</v>
      </c>
      <c r="AS307" s="5">
        <f t="shared" si="406"/>
        <v>3.8801275060817044</v>
      </c>
      <c r="AT307" s="5">
        <f t="shared" si="435"/>
        <v>0.31900000000000001</v>
      </c>
      <c r="AU307" s="5">
        <f t="shared" si="439"/>
        <v>3.5611275060817045</v>
      </c>
      <c r="AV307" s="5"/>
      <c r="AW307" s="180">
        <f t="shared" si="440"/>
        <v>8.2213793103448285E-2</v>
      </c>
      <c r="AX307" s="180"/>
      <c r="CB307" s="582">
        <f t="shared" si="436"/>
        <v>-50</v>
      </c>
      <c r="CC307">
        <f t="shared" si="437"/>
        <v>-50</v>
      </c>
    </row>
    <row r="308" spans="5:81" x14ac:dyDescent="0.25">
      <c r="E308" s="177">
        <v>92</v>
      </c>
      <c r="F308" s="224">
        <f t="shared" si="438"/>
        <v>9.2000000000000012E-2</v>
      </c>
      <c r="G308" s="224"/>
      <c r="H308" s="224">
        <f t="shared" si="408"/>
        <v>0.57960000000000012</v>
      </c>
      <c r="I308" s="560">
        <f t="shared" si="409"/>
        <v>50</v>
      </c>
      <c r="J308" s="455">
        <f t="shared" si="410"/>
        <v>13.1</v>
      </c>
      <c r="K308" s="455">
        <f t="shared" si="411"/>
        <v>63.1</v>
      </c>
      <c r="L308" s="455"/>
      <c r="M308" s="224">
        <f t="shared" si="412"/>
        <v>0.20760697305863707</v>
      </c>
      <c r="N308" s="179">
        <f t="shared" si="413"/>
        <v>6.7731774960380342</v>
      </c>
      <c r="O308" s="179">
        <f t="shared" si="405"/>
        <v>0.57960000000000012</v>
      </c>
      <c r="P308" s="224">
        <f t="shared" si="414"/>
        <v>1.0751075390536562</v>
      </c>
      <c r="Q308" s="224">
        <f t="shared" si="415"/>
        <v>6.3</v>
      </c>
      <c r="R308" s="224"/>
      <c r="S308" s="179">
        <f t="shared" si="416"/>
        <v>329.63851101208058</v>
      </c>
      <c r="T308" s="179">
        <f t="shared" si="417"/>
        <v>6.3</v>
      </c>
      <c r="U308" s="224">
        <f t="shared" si="418"/>
        <v>0.12408061068702293</v>
      </c>
      <c r="V308" s="224">
        <f t="shared" si="419"/>
        <v>0.13648867175572524</v>
      </c>
      <c r="W308" s="224">
        <f t="shared" si="420"/>
        <v>0.52094912883864597</v>
      </c>
      <c r="X308" s="204">
        <f t="shared" si="421"/>
        <v>350</v>
      </c>
      <c r="Y308" s="455">
        <f t="shared" si="407"/>
        <v>350</v>
      </c>
      <c r="AA308" s="224">
        <f t="shared" si="422"/>
        <v>0.539238891061395</v>
      </c>
      <c r="AB308" s="180">
        <f t="shared" si="423"/>
        <v>2.2639800769753222</v>
      </c>
      <c r="AC308" s="180">
        <f t="shared" si="424"/>
        <v>0.42728913713264249</v>
      </c>
      <c r="AD308" s="180"/>
      <c r="AE308" s="180">
        <f t="shared" si="425"/>
        <v>1.217557251908397</v>
      </c>
      <c r="AF308" s="564">
        <f t="shared" si="426"/>
        <v>260.55561560912332</v>
      </c>
      <c r="AG308" s="547">
        <f t="shared" si="427"/>
        <v>0.1235820610687023</v>
      </c>
      <c r="AI308" s="180">
        <f t="shared" si="428"/>
        <v>0.25021549154237477</v>
      </c>
      <c r="AJ308" s="180">
        <f t="shared" si="429"/>
        <v>0.28999999999999998</v>
      </c>
      <c r="AK308" s="180">
        <f t="shared" si="430"/>
        <v>1.1488889232052133</v>
      </c>
      <c r="AM308" s="564">
        <f t="shared" si="431"/>
        <v>92.000000000000014</v>
      </c>
      <c r="AN308" s="473">
        <f t="shared" si="432"/>
        <v>260.55561560912332</v>
      </c>
      <c r="AP308">
        <f t="shared" si="433"/>
        <v>92.000000000000014</v>
      </c>
      <c r="AQ308">
        <f t="shared" si="434"/>
        <v>260.55561560912332</v>
      </c>
      <c r="AS308" s="5">
        <f t="shared" si="406"/>
        <v>3.837952207102556</v>
      </c>
      <c r="AT308" s="5">
        <f t="shared" si="435"/>
        <v>0.31900000000000001</v>
      </c>
      <c r="AU308" s="5">
        <f t="shared" si="439"/>
        <v>3.5189522071025561</v>
      </c>
      <c r="AV308" s="5"/>
      <c r="AW308" s="180">
        <f t="shared" si="440"/>
        <v>8.3117241379310342E-2</v>
      </c>
      <c r="AX308" s="180"/>
      <c r="CB308" s="582">
        <f t="shared" si="436"/>
        <v>-50</v>
      </c>
      <c r="CC308">
        <f t="shared" si="437"/>
        <v>-50</v>
      </c>
    </row>
    <row r="309" spans="5:81" x14ac:dyDescent="0.25">
      <c r="E309" s="177">
        <v>93</v>
      </c>
      <c r="F309" s="224">
        <f t="shared" si="438"/>
        <v>9.3000000000000013E-2</v>
      </c>
      <c r="G309" s="224"/>
      <c r="H309" s="224">
        <f t="shared" si="408"/>
        <v>0.58590000000000009</v>
      </c>
      <c r="I309" s="560">
        <f t="shared" si="409"/>
        <v>50</v>
      </c>
      <c r="J309" s="455">
        <f t="shared" si="410"/>
        <v>13.1</v>
      </c>
      <c r="K309" s="455">
        <f t="shared" si="411"/>
        <v>63.1</v>
      </c>
      <c r="L309" s="455"/>
      <c r="M309" s="224">
        <f t="shared" si="412"/>
        <v>0.20760697305863707</v>
      </c>
      <c r="N309" s="179">
        <f t="shared" si="413"/>
        <v>6.7731774960380342</v>
      </c>
      <c r="O309" s="179">
        <f t="shared" si="405"/>
        <v>0.58590000000000009</v>
      </c>
      <c r="P309" s="224">
        <f t="shared" si="414"/>
        <v>1.0751075390536562</v>
      </c>
      <c r="Q309" s="224">
        <f t="shared" si="415"/>
        <v>6.3</v>
      </c>
      <c r="R309" s="224"/>
      <c r="S309" s="179">
        <f t="shared" si="416"/>
        <v>325.82561894599053</v>
      </c>
      <c r="T309" s="179">
        <f t="shared" si="417"/>
        <v>6.3</v>
      </c>
      <c r="U309" s="224">
        <f t="shared" si="418"/>
        <v>0.12542931297709928</v>
      </c>
      <c r="V309" s="224">
        <f t="shared" si="419"/>
        <v>0.13797224427480922</v>
      </c>
      <c r="W309" s="224">
        <f t="shared" si="420"/>
        <v>0.52661161936950085</v>
      </c>
      <c r="X309" s="204">
        <f t="shared" si="421"/>
        <v>350</v>
      </c>
      <c r="Y309" s="455">
        <f t="shared" si="407"/>
        <v>350</v>
      </c>
      <c r="AA309" s="224">
        <f t="shared" si="422"/>
        <v>0.539238891061395</v>
      </c>
      <c r="AB309" s="180">
        <f t="shared" si="423"/>
        <v>2.2639800769753222</v>
      </c>
      <c r="AC309" s="180">
        <f t="shared" si="424"/>
        <v>0.42728913713264249</v>
      </c>
      <c r="AD309" s="180"/>
      <c r="AE309" s="180">
        <f t="shared" si="425"/>
        <v>1.217557251908397</v>
      </c>
      <c r="AF309" s="564">
        <f t="shared" si="426"/>
        <v>263.38774186574426</v>
      </c>
      <c r="AG309" s="547">
        <f t="shared" si="427"/>
        <v>0.1235820610687023</v>
      </c>
      <c r="AI309" s="180">
        <f t="shared" si="428"/>
        <v>0.25157168300170768</v>
      </c>
      <c r="AJ309" s="180">
        <f t="shared" si="429"/>
        <v>0.28999999999999998</v>
      </c>
      <c r="AK309" s="180">
        <f t="shared" si="430"/>
        <v>1.1505072810661396</v>
      </c>
      <c r="AM309" s="564">
        <f t="shared" si="431"/>
        <v>93.000000000000014</v>
      </c>
      <c r="AN309" s="473">
        <f t="shared" si="432"/>
        <v>263.38774186574426</v>
      </c>
      <c r="AP309">
        <f t="shared" si="433"/>
        <v>93.000000000000014</v>
      </c>
      <c r="AQ309">
        <f t="shared" si="434"/>
        <v>263.38774186574426</v>
      </c>
      <c r="AS309" s="5">
        <f t="shared" si="406"/>
        <v>3.7966839038003775</v>
      </c>
      <c r="AT309" s="5">
        <f t="shared" si="435"/>
        <v>0.31900000000000001</v>
      </c>
      <c r="AU309" s="5">
        <f t="shared" si="439"/>
        <v>3.4776839038003775</v>
      </c>
      <c r="AV309" s="5"/>
      <c r="AW309" s="180">
        <f t="shared" si="440"/>
        <v>8.4020689655172412E-2</v>
      </c>
      <c r="AX309" s="180"/>
      <c r="CB309" s="582">
        <f t="shared" si="436"/>
        <v>-50</v>
      </c>
      <c r="CC309">
        <f t="shared" si="437"/>
        <v>-50</v>
      </c>
    </row>
    <row r="310" spans="5:81" x14ac:dyDescent="0.25">
      <c r="E310" s="177">
        <v>94</v>
      </c>
      <c r="F310" s="224">
        <f t="shared" si="438"/>
        <v>9.4E-2</v>
      </c>
      <c r="G310" s="224"/>
      <c r="H310" s="224">
        <f t="shared" si="408"/>
        <v>0.59219999999999995</v>
      </c>
      <c r="I310" s="560">
        <f t="shared" si="409"/>
        <v>50</v>
      </c>
      <c r="J310" s="455">
        <f t="shared" si="410"/>
        <v>13.1</v>
      </c>
      <c r="K310" s="455">
        <f t="shared" si="411"/>
        <v>63.1</v>
      </c>
      <c r="L310" s="455"/>
      <c r="M310" s="224">
        <f t="shared" si="412"/>
        <v>0.20760697305863707</v>
      </c>
      <c r="N310" s="179">
        <f t="shared" si="413"/>
        <v>6.7731774960380342</v>
      </c>
      <c r="O310" s="179">
        <f t="shared" si="405"/>
        <v>0.59219999999999995</v>
      </c>
      <c r="P310" s="224">
        <f t="shared" si="414"/>
        <v>1.0751075390536562</v>
      </c>
      <c r="Q310" s="224">
        <f t="shared" si="415"/>
        <v>6.3</v>
      </c>
      <c r="R310" s="224"/>
      <c r="S310" s="179">
        <f t="shared" si="416"/>
        <v>322.09385731762353</v>
      </c>
      <c r="T310" s="179">
        <f t="shared" si="417"/>
        <v>6.3</v>
      </c>
      <c r="U310" s="224">
        <f t="shared" si="418"/>
        <v>0.12677801526717558</v>
      </c>
      <c r="V310" s="224">
        <f t="shared" si="419"/>
        <v>0.13945581679389313</v>
      </c>
      <c r="W310" s="224">
        <f t="shared" si="420"/>
        <v>0.53227410990035551</v>
      </c>
      <c r="X310" s="204">
        <f t="shared" si="421"/>
        <v>350</v>
      </c>
      <c r="Y310" s="455">
        <f t="shared" si="407"/>
        <v>350</v>
      </c>
      <c r="AA310" s="224">
        <f t="shared" si="422"/>
        <v>0.539238891061395</v>
      </c>
      <c r="AB310" s="180">
        <f t="shared" si="423"/>
        <v>2.2639800769753222</v>
      </c>
      <c r="AC310" s="180">
        <f t="shared" si="424"/>
        <v>0.42728913713264249</v>
      </c>
      <c r="AD310" s="180"/>
      <c r="AE310" s="180">
        <f t="shared" si="425"/>
        <v>1.217557251908397</v>
      </c>
      <c r="AF310" s="564">
        <f t="shared" si="426"/>
        <v>266.21986812236509</v>
      </c>
      <c r="AG310" s="547">
        <f t="shared" si="427"/>
        <v>0.1235820610687023</v>
      </c>
      <c r="AI310" s="180">
        <f t="shared" si="428"/>
        <v>0.25292060249973936</v>
      </c>
      <c r="AJ310" s="180">
        <f t="shared" si="429"/>
        <v>0.28999999999999998</v>
      </c>
      <c r="AK310" s="180">
        <f t="shared" si="430"/>
        <v>1.1521256389270658</v>
      </c>
      <c r="AM310" s="564">
        <f t="shared" si="431"/>
        <v>94</v>
      </c>
      <c r="AN310" s="473">
        <f t="shared" si="432"/>
        <v>266.21986812236509</v>
      </c>
      <c r="AP310">
        <f t="shared" si="433"/>
        <v>94</v>
      </c>
      <c r="AQ310">
        <f t="shared" si="434"/>
        <v>266.21986812236509</v>
      </c>
      <c r="AS310" s="5">
        <f t="shared" si="406"/>
        <v>3.7562936495046295</v>
      </c>
      <c r="AT310" s="5">
        <f t="shared" si="435"/>
        <v>0.31900000000000001</v>
      </c>
      <c r="AU310" s="5">
        <f t="shared" si="439"/>
        <v>3.4372936495046296</v>
      </c>
      <c r="AV310" s="5"/>
      <c r="AW310" s="180">
        <f t="shared" si="440"/>
        <v>8.4924137931034469E-2</v>
      </c>
      <c r="AX310" s="180"/>
      <c r="CB310" s="582">
        <f t="shared" si="436"/>
        <v>-50</v>
      </c>
      <c r="CC310">
        <f t="shared" si="437"/>
        <v>-50</v>
      </c>
    </row>
    <row r="311" spans="5:81" x14ac:dyDescent="0.25">
      <c r="E311" s="177">
        <v>95</v>
      </c>
      <c r="F311" s="224">
        <f t="shared" si="438"/>
        <v>9.5000000000000001E-2</v>
      </c>
      <c r="G311" s="224"/>
      <c r="H311" s="224">
        <f t="shared" si="408"/>
        <v>0.59850000000000003</v>
      </c>
      <c r="I311" s="560">
        <f t="shared" si="409"/>
        <v>50</v>
      </c>
      <c r="J311" s="455">
        <f t="shared" si="410"/>
        <v>13.1</v>
      </c>
      <c r="K311" s="455">
        <f t="shared" si="411"/>
        <v>63.1</v>
      </c>
      <c r="L311" s="455"/>
      <c r="M311" s="224">
        <f t="shared" si="412"/>
        <v>0.20760697305863707</v>
      </c>
      <c r="N311" s="179">
        <f t="shared" si="413"/>
        <v>6.7731774960380342</v>
      </c>
      <c r="O311" s="179">
        <f t="shared" si="405"/>
        <v>0.59850000000000003</v>
      </c>
      <c r="P311" s="224">
        <f t="shared" si="414"/>
        <v>1.0751075390536562</v>
      </c>
      <c r="Q311" s="224">
        <f t="shared" si="415"/>
        <v>6.3</v>
      </c>
      <c r="R311" s="224"/>
      <c r="S311" s="179">
        <f t="shared" si="416"/>
        <v>318.44066412543032</v>
      </c>
      <c r="T311" s="179">
        <f t="shared" si="417"/>
        <v>6.3</v>
      </c>
      <c r="U311" s="224">
        <f t="shared" si="418"/>
        <v>0.12812671755725194</v>
      </c>
      <c r="V311" s="224">
        <f t="shared" si="419"/>
        <v>0.14093938931297714</v>
      </c>
      <c r="W311" s="224">
        <f t="shared" si="420"/>
        <v>0.5379366004312105</v>
      </c>
      <c r="X311" s="204">
        <f t="shared" si="421"/>
        <v>350</v>
      </c>
      <c r="Y311" s="455">
        <f t="shared" si="407"/>
        <v>350</v>
      </c>
      <c r="AA311" s="224">
        <f t="shared" si="422"/>
        <v>0.539238891061395</v>
      </c>
      <c r="AB311" s="180">
        <f t="shared" si="423"/>
        <v>2.2639800769753222</v>
      </c>
      <c r="AC311" s="180">
        <f t="shared" si="424"/>
        <v>0.42728913713264249</v>
      </c>
      <c r="AD311" s="180"/>
      <c r="AE311" s="180">
        <f t="shared" si="425"/>
        <v>1.217557251908397</v>
      </c>
      <c r="AF311" s="564">
        <f t="shared" si="426"/>
        <v>269.05199437898602</v>
      </c>
      <c r="AG311" s="547">
        <f t="shared" si="427"/>
        <v>0.1235820610687023</v>
      </c>
      <c r="AI311" s="180">
        <f t="shared" si="428"/>
        <v>0.25426236577470651</v>
      </c>
      <c r="AJ311" s="180">
        <f t="shared" si="429"/>
        <v>0.28999999999999998</v>
      </c>
      <c r="AK311" s="180">
        <f t="shared" si="430"/>
        <v>1.1537439967879921</v>
      </c>
      <c r="AM311" s="564">
        <f t="shared" si="431"/>
        <v>95</v>
      </c>
      <c r="AN311" s="473">
        <f t="shared" si="432"/>
        <v>269.05199437898602</v>
      </c>
      <c r="AP311">
        <f t="shared" si="433"/>
        <v>95</v>
      </c>
      <c r="AQ311">
        <f t="shared" si="434"/>
        <v>269.05199437898602</v>
      </c>
      <c r="AS311" s="5">
        <f t="shared" si="406"/>
        <v>3.7167537163519486</v>
      </c>
      <c r="AT311" s="5">
        <f t="shared" si="435"/>
        <v>0.31900000000000001</v>
      </c>
      <c r="AU311" s="5">
        <f t="shared" si="439"/>
        <v>3.3977537163519487</v>
      </c>
      <c r="AV311" s="5"/>
      <c r="AW311" s="180">
        <f t="shared" si="440"/>
        <v>8.5827586206896553E-2</v>
      </c>
      <c r="AX311" s="180"/>
      <c r="CB311" s="582">
        <f t="shared" si="436"/>
        <v>-50</v>
      </c>
      <c r="CC311">
        <f t="shared" si="437"/>
        <v>-50</v>
      </c>
    </row>
    <row r="312" spans="5:81" x14ac:dyDescent="0.25">
      <c r="E312" s="177">
        <v>96</v>
      </c>
      <c r="F312" s="224">
        <f t="shared" si="438"/>
        <v>9.6000000000000002E-2</v>
      </c>
      <c r="G312" s="224"/>
      <c r="H312" s="224">
        <f t="shared" ref="H312:H316" si="441">F312*Vout</f>
        <v>0.6048</v>
      </c>
      <c r="I312" s="560">
        <f t="shared" si="409"/>
        <v>50</v>
      </c>
      <c r="J312" s="455">
        <f t="shared" si="410"/>
        <v>13.1</v>
      </c>
      <c r="K312" s="455">
        <f t="shared" si="411"/>
        <v>63.1</v>
      </c>
      <c r="L312" s="455"/>
      <c r="M312" s="224">
        <f t="shared" si="412"/>
        <v>0.20760697305863707</v>
      </c>
      <c r="N312" s="179">
        <f t="shared" ref="N312:N316" si="442">M312*I312*Isw_max*0.5*Efficiency</f>
        <v>6.7731774960380342</v>
      </c>
      <c r="O312" s="179">
        <f t="shared" si="405"/>
        <v>0.6048</v>
      </c>
      <c r="P312" s="224">
        <f t="shared" ref="P312:P316" si="443">N312/Vout</f>
        <v>1.0751075390536562</v>
      </c>
      <c r="Q312" s="224">
        <f t="shared" si="415"/>
        <v>6.3</v>
      </c>
      <c r="R312" s="224"/>
      <c r="S312" s="179">
        <f t="shared" si="416"/>
        <v>314.86358411796573</v>
      </c>
      <c r="T312" s="179">
        <f t="shared" ref="T312:T316" si="444">MIN(Vout, S312)</f>
        <v>6.3</v>
      </c>
      <c r="U312" s="224">
        <f t="shared" si="418"/>
        <v>0.12947541984732824</v>
      </c>
      <c r="V312" s="224">
        <f t="shared" ref="V312:V316" si="445">L*U312/I312*1000000</f>
        <v>0.14242296183206107</v>
      </c>
      <c r="W312" s="224">
        <f t="shared" si="420"/>
        <v>0.54359909096206516</v>
      </c>
      <c r="X312" s="204">
        <f t="shared" si="421"/>
        <v>350</v>
      </c>
      <c r="Y312" s="455">
        <f t="shared" si="407"/>
        <v>350</v>
      </c>
      <c r="AA312" s="224">
        <f t="shared" si="422"/>
        <v>0.539238891061395</v>
      </c>
      <c r="AB312" s="180">
        <f t="shared" ref="AB312:AB316" si="446">L*AA312/J312*1000000</f>
        <v>2.2639800769753222</v>
      </c>
      <c r="AC312" s="180">
        <f t="shared" ref="AC312:AC316" si="447">0.5*AB312*AA312*Nps*X312/1000</f>
        <v>0.42728913713264249</v>
      </c>
      <c r="AD312" s="180"/>
      <c r="AE312" s="180">
        <f t="shared" si="425"/>
        <v>1.217557251908397</v>
      </c>
      <c r="AF312" s="564">
        <f t="shared" ref="AF312:AF316" si="448">MAX(10000,F312/(0.5*AE312/1000000*Isw_min*Nps))/1000</f>
        <v>271.88412063560691</v>
      </c>
      <c r="AG312" s="547">
        <f t="shared" si="427"/>
        <v>0.1235820610687023</v>
      </c>
      <c r="AI312" s="180">
        <f t="shared" si="428"/>
        <v>0.25559708552694832</v>
      </c>
      <c r="AJ312" s="180">
        <f t="shared" ref="AJ312:AJ316" si="449">MAX(IF(F312&gt;AC312,U312,AI312),Isw_min)</f>
        <v>0.28999999999999998</v>
      </c>
      <c r="AK312" s="180">
        <f t="shared" ref="AK312:AK316" si="450">IF(F312&gt;AG312, (AJ312-Isw_min)/1.08*0.8+1.2, AF312*0.2/350+1)</f>
        <v>1.1553623546489182</v>
      </c>
      <c r="AM312" s="564">
        <f t="shared" si="431"/>
        <v>96</v>
      </c>
      <c r="AN312" s="473">
        <f t="shared" si="432"/>
        <v>271.88412063560691</v>
      </c>
      <c r="AP312">
        <f t="shared" si="433"/>
        <v>96</v>
      </c>
      <c r="AQ312">
        <f t="shared" si="434"/>
        <v>271.88412063560691</v>
      </c>
      <c r="AS312" s="5">
        <f t="shared" si="406"/>
        <v>3.6780375318066163</v>
      </c>
      <c r="AT312" s="5">
        <f t="shared" si="435"/>
        <v>0.31900000000000001</v>
      </c>
      <c r="AU312" s="5">
        <f t="shared" si="439"/>
        <v>3.3590375318066164</v>
      </c>
      <c r="AV312" s="5"/>
      <c r="AW312" s="180">
        <f t="shared" si="440"/>
        <v>8.6731034482758609E-2</v>
      </c>
      <c r="AX312" s="180"/>
      <c r="CB312" s="582">
        <f t="shared" si="436"/>
        <v>-50</v>
      </c>
      <c r="CC312">
        <f t="shared" si="437"/>
        <v>-50</v>
      </c>
    </row>
    <row r="313" spans="5:81" x14ac:dyDescent="0.25">
      <c r="E313" s="177">
        <v>97</v>
      </c>
      <c r="F313" s="224">
        <f t="shared" ref="F313:F316" si="451">IF(PLOT_TYPE=1, E313/100*Iout_max, min_I*EXP(N313*rr/100))</f>
        <v>9.7000000000000003E-2</v>
      </c>
      <c r="G313" s="224"/>
      <c r="H313" s="224">
        <f t="shared" si="441"/>
        <v>0.61109999999999998</v>
      </c>
      <c r="I313" s="560">
        <f t="shared" si="409"/>
        <v>50</v>
      </c>
      <c r="J313" s="455">
        <f t="shared" si="410"/>
        <v>13.1</v>
      </c>
      <c r="K313" s="455">
        <f t="shared" si="411"/>
        <v>63.1</v>
      </c>
      <c r="L313" s="455"/>
      <c r="M313" s="224">
        <f t="shared" si="412"/>
        <v>0.20760697305863707</v>
      </c>
      <c r="N313" s="179">
        <f t="shared" si="442"/>
        <v>6.7731774960380342</v>
      </c>
      <c r="O313" s="179">
        <f t="shared" si="405"/>
        <v>0.61109999999999998</v>
      </c>
      <c r="P313" s="224">
        <f t="shared" si="443"/>
        <v>1.0751075390536562</v>
      </c>
      <c r="Q313" s="224">
        <f t="shared" si="415"/>
        <v>6.3</v>
      </c>
      <c r="R313" s="224"/>
      <c r="S313" s="179">
        <f t="shared" si="416"/>
        <v>311.36026329130539</v>
      </c>
      <c r="T313" s="179">
        <f t="shared" si="444"/>
        <v>6.3</v>
      </c>
      <c r="U313" s="224">
        <f t="shared" si="418"/>
        <v>0.13082412213740457</v>
      </c>
      <c r="V313" s="224">
        <f t="shared" si="445"/>
        <v>0.14390653435114503</v>
      </c>
      <c r="W313" s="224">
        <f t="shared" si="420"/>
        <v>0.54926158149291993</v>
      </c>
      <c r="X313" s="204">
        <f t="shared" si="421"/>
        <v>350</v>
      </c>
      <c r="Y313" s="455">
        <f t="shared" si="407"/>
        <v>350</v>
      </c>
      <c r="AA313" s="224">
        <f t="shared" si="422"/>
        <v>0.539238891061395</v>
      </c>
      <c r="AB313" s="180">
        <f t="shared" si="446"/>
        <v>2.2639800769753222</v>
      </c>
      <c r="AC313" s="180">
        <f t="shared" si="447"/>
        <v>0.42728913713264249</v>
      </c>
      <c r="AD313" s="180"/>
      <c r="AE313" s="180">
        <f t="shared" si="425"/>
        <v>1.217557251908397</v>
      </c>
      <c r="AF313" s="564">
        <f t="shared" si="448"/>
        <v>274.71624689222784</v>
      </c>
      <c r="AG313" s="547">
        <f t="shared" si="427"/>
        <v>0.1235820610687023</v>
      </c>
      <c r="AI313" s="180">
        <f t="shared" si="428"/>
        <v>0.25692487152938231</v>
      </c>
      <c r="AJ313" s="180">
        <f t="shared" si="449"/>
        <v>0.28999999999999998</v>
      </c>
      <c r="AK313" s="180">
        <f t="shared" si="450"/>
        <v>1.1569807125098446</v>
      </c>
      <c r="AM313" s="564">
        <f t="shared" si="431"/>
        <v>97</v>
      </c>
      <c r="AN313" s="473">
        <f t="shared" si="432"/>
        <v>274.71624689222784</v>
      </c>
      <c r="AP313">
        <f t="shared" si="433"/>
        <v>97</v>
      </c>
      <c r="AQ313">
        <f t="shared" si="434"/>
        <v>274.71624689222784</v>
      </c>
      <c r="AS313" s="5">
        <f t="shared" si="406"/>
        <v>3.6401196191075789</v>
      </c>
      <c r="AT313" s="5">
        <f t="shared" si="435"/>
        <v>0.31900000000000001</v>
      </c>
      <c r="AU313" s="5">
        <f t="shared" si="439"/>
        <v>3.3211196191075789</v>
      </c>
      <c r="AV313" s="5"/>
      <c r="AW313" s="180">
        <f t="shared" si="440"/>
        <v>8.763448275862068E-2</v>
      </c>
      <c r="AX313" s="180"/>
      <c r="CB313" s="582">
        <f t="shared" si="436"/>
        <v>-50</v>
      </c>
      <c r="CC313">
        <f t="shared" si="437"/>
        <v>-50</v>
      </c>
    </row>
    <row r="314" spans="5:81" x14ac:dyDescent="0.25">
      <c r="E314" s="177">
        <v>98</v>
      </c>
      <c r="F314" s="224">
        <f t="shared" si="451"/>
        <v>9.8000000000000004E-2</v>
      </c>
      <c r="G314" s="224"/>
      <c r="H314" s="224">
        <f t="shared" si="441"/>
        <v>0.61740000000000006</v>
      </c>
      <c r="I314" s="560">
        <f t="shared" si="409"/>
        <v>50</v>
      </c>
      <c r="J314" s="455">
        <f t="shared" si="410"/>
        <v>13.1</v>
      </c>
      <c r="K314" s="455">
        <f t="shared" si="411"/>
        <v>63.1</v>
      </c>
      <c r="L314" s="455"/>
      <c r="M314" s="224">
        <f t="shared" si="412"/>
        <v>0.20760697305863707</v>
      </c>
      <c r="N314" s="179">
        <f t="shared" si="442"/>
        <v>6.7731774960380342</v>
      </c>
      <c r="O314" s="179">
        <f t="shared" si="405"/>
        <v>0.61740000000000006</v>
      </c>
      <c r="P314" s="224">
        <f t="shared" si="443"/>
        <v>1.0751075390536562</v>
      </c>
      <c r="Q314" s="224">
        <f t="shared" si="415"/>
        <v>6.3</v>
      </c>
      <c r="R314" s="224"/>
      <c r="S314" s="179">
        <f t="shared" si="416"/>
        <v>307.92844372335657</v>
      </c>
      <c r="T314" s="179">
        <f t="shared" si="444"/>
        <v>6.3</v>
      </c>
      <c r="U314" s="224">
        <f t="shared" si="418"/>
        <v>0.13217282442748093</v>
      </c>
      <c r="V314" s="224">
        <f t="shared" si="445"/>
        <v>0.14539010687022902</v>
      </c>
      <c r="W314" s="224">
        <f t="shared" si="420"/>
        <v>0.55492407202377492</v>
      </c>
      <c r="X314" s="204">
        <f t="shared" si="421"/>
        <v>350</v>
      </c>
      <c r="Y314" s="455">
        <f t="shared" si="407"/>
        <v>350</v>
      </c>
      <c r="AA314" s="224">
        <f t="shared" si="422"/>
        <v>0.539238891061395</v>
      </c>
      <c r="AB314" s="180">
        <f t="shared" si="446"/>
        <v>2.2639800769753222</v>
      </c>
      <c r="AC314" s="180">
        <f t="shared" si="447"/>
        <v>0.42728913713264249</v>
      </c>
      <c r="AD314" s="180"/>
      <c r="AE314" s="180">
        <f t="shared" si="425"/>
        <v>1.217557251908397</v>
      </c>
      <c r="AF314" s="564">
        <f t="shared" si="448"/>
        <v>277.54837314884878</v>
      </c>
      <c r="AG314" s="547">
        <f t="shared" si="427"/>
        <v>0.1235820610687023</v>
      </c>
      <c r="AI314" s="180">
        <f t="shared" si="428"/>
        <v>0.25824583073286794</v>
      </c>
      <c r="AJ314" s="180">
        <f t="shared" si="449"/>
        <v>0.28999999999999998</v>
      </c>
      <c r="AK314" s="180">
        <f t="shared" si="450"/>
        <v>1.1585990703707707</v>
      </c>
      <c r="AM314" s="564">
        <f t="shared" si="431"/>
        <v>98</v>
      </c>
      <c r="AN314" s="473">
        <f t="shared" si="432"/>
        <v>277.54837314884878</v>
      </c>
      <c r="AP314">
        <f t="shared" si="433"/>
        <v>98</v>
      </c>
      <c r="AQ314">
        <f t="shared" si="434"/>
        <v>277.54837314884878</v>
      </c>
      <c r="AS314" s="5">
        <f t="shared" si="406"/>
        <v>3.6029755413615829</v>
      </c>
      <c r="AT314" s="5">
        <f t="shared" si="435"/>
        <v>0.31900000000000001</v>
      </c>
      <c r="AU314" s="5">
        <f t="shared" si="439"/>
        <v>3.283975541361583</v>
      </c>
      <c r="AV314" s="5"/>
      <c r="AW314" s="180">
        <f t="shared" si="440"/>
        <v>8.853793103448275E-2</v>
      </c>
      <c r="AX314" s="180"/>
      <c r="CB314" s="582">
        <f t="shared" si="436"/>
        <v>-50</v>
      </c>
      <c r="CC314">
        <f t="shared" si="437"/>
        <v>-50</v>
      </c>
    </row>
    <row r="315" spans="5:81" x14ac:dyDescent="0.25">
      <c r="E315" s="177">
        <v>99</v>
      </c>
      <c r="F315" s="224">
        <f t="shared" si="451"/>
        <v>9.9000000000000005E-2</v>
      </c>
      <c r="G315" s="224"/>
      <c r="H315" s="224">
        <f t="shared" si="441"/>
        <v>0.62370000000000003</v>
      </c>
      <c r="I315" s="560">
        <f t="shared" si="409"/>
        <v>50</v>
      </c>
      <c r="J315" s="455">
        <f t="shared" si="410"/>
        <v>13.1</v>
      </c>
      <c r="K315" s="455">
        <f t="shared" si="411"/>
        <v>63.1</v>
      </c>
      <c r="L315" s="455"/>
      <c r="M315" s="224">
        <f t="shared" si="412"/>
        <v>0.20760697305863707</v>
      </c>
      <c r="N315" s="179">
        <f t="shared" si="442"/>
        <v>6.7731774960380342</v>
      </c>
      <c r="O315" s="179">
        <f t="shared" si="405"/>
        <v>0.62370000000000003</v>
      </c>
      <c r="P315" s="224">
        <f t="shared" si="443"/>
        <v>1.0751075390536562</v>
      </c>
      <c r="Q315" s="224">
        <f t="shared" si="415"/>
        <v>6.3</v>
      </c>
      <c r="R315" s="224"/>
      <c r="S315" s="179">
        <f t="shared" si="416"/>
        <v>304.56595872124052</v>
      </c>
      <c r="T315" s="179">
        <f t="shared" si="444"/>
        <v>6.3</v>
      </c>
      <c r="U315" s="224">
        <f t="shared" si="418"/>
        <v>0.13352152671755727</v>
      </c>
      <c r="V315" s="224">
        <f t="shared" si="445"/>
        <v>0.14687367938931298</v>
      </c>
      <c r="W315" s="224">
        <f t="shared" si="420"/>
        <v>0.5605865625546298</v>
      </c>
      <c r="X315" s="204">
        <f t="shared" si="421"/>
        <v>350</v>
      </c>
      <c r="Y315" s="455">
        <f t="shared" si="407"/>
        <v>350</v>
      </c>
      <c r="AA315" s="224">
        <f t="shared" si="422"/>
        <v>0.539238891061395</v>
      </c>
      <c r="AB315" s="180">
        <f t="shared" si="446"/>
        <v>2.2639800769753222</v>
      </c>
      <c r="AC315" s="180">
        <f t="shared" si="447"/>
        <v>0.42728913713264249</v>
      </c>
      <c r="AD315" s="180"/>
      <c r="AE315" s="180">
        <f t="shared" si="425"/>
        <v>1.217557251908397</v>
      </c>
      <c r="AF315" s="564">
        <f t="shared" si="448"/>
        <v>280.38049940546961</v>
      </c>
      <c r="AG315" s="547">
        <f t="shared" si="427"/>
        <v>0.1235820610687023</v>
      </c>
      <c r="AI315" s="180">
        <f t="shared" si="428"/>
        <v>0.25956006736674375</v>
      </c>
      <c r="AJ315" s="180">
        <f t="shared" si="449"/>
        <v>0.28999999999999998</v>
      </c>
      <c r="AK315" s="180">
        <f t="shared" si="450"/>
        <v>1.160217428231697</v>
      </c>
      <c r="AM315" s="564">
        <f t="shared" si="431"/>
        <v>99</v>
      </c>
      <c r="AN315" s="473">
        <f t="shared" si="432"/>
        <v>280.38049940546961</v>
      </c>
      <c r="AP315">
        <f t="shared" si="433"/>
        <v>99</v>
      </c>
      <c r="AQ315">
        <f t="shared" si="434"/>
        <v>280.38049940546961</v>
      </c>
      <c r="AS315" s="5">
        <f t="shared" si="406"/>
        <v>3.566581849024598</v>
      </c>
      <c r="AT315" s="5">
        <f t="shared" si="435"/>
        <v>0.31900000000000001</v>
      </c>
      <c r="AU315" s="5">
        <f t="shared" si="439"/>
        <v>3.247581849024598</v>
      </c>
      <c r="AV315" s="5"/>
      <c r="AW315" s="180">
        <f t="shared" si="440"/>
        <v>8.9441379310344807E-2</v>
      </c>
      <c r="AX315" s="180"/>
      <c r="CB315" s="582">
        <f t="shared" si="436"/>
        <v>-50</v>
      </c>
      <c r="CC315">
        <f t="shared" si="437"/>
        <v>-50</v>
      </c>
    </row>
    <row r="316" spans="5:81" x14ac:dyDescent="0.25">
      <c r="E316" s="177">
        <v>100</v>
      </c>
      <c r="F316" s="224">
        <f t="shared" si="451"/>
        <v>0.1</v>
      </c>
      <c r="G316" s="224"/>
      <c r="H316" s="224">
        <f t="shared" si="441"/>
        <v>0.63</v>
      </c>
      <c r="I316" s="560">
        <f t="shared" si="409"/>
        <v>50</v>
      </c>
      <c r="J316" s="455">
        <f t="shared" si="410"/>
        <v>13.1</v>
      </c>
      <c r="K316" s="455">
        <f t="shared" si="411"/>
        <v>63.1</v>
      </c>
      <c r="L316" s="455"/>
      <c r="M316" s="224">
        <f t="shared" si="412"/>
        <v>0.20760697305863707</v>
      </c>
      <c r="N316" s="179">
        <f t="shared" si="442"/>
        <v>6.7731774960380342</v>
      </c>
      <c r="O316" s="179">
        <f t="shared" si="405"/>
        <v>0.63</v>
      </c>
      <c r="P316" s="224">
        <f t="shared" si="443"/>
        <v>1.0751075390536562</v>
      </c>
      <c r="Q316" s="224">
        <f t="shared" si="415"/>
        <v>6.3</v>
      </c>
      <c r="R316" s="224"/>
      <c r="S316" s="179">
        <f t="shared" si="416"/>
        <v>301.27072825983163</v>
      </c>
      <c r="T316" s="179">
        <f t="shared" si="444"/>
        <v>6.3</v>
      </c>
      <c r="U316" s="224">
        <f t="shared" si="418"/>
        <v>0.1348702290076336</v>
      </c>
      <c r="V316" s="224">
        <f t="shared" si="445"/>
        <v>0.14835725190839696</v>
      </c>
      <c r="W316" s="224">
        <f t="shared" si="420"/>
        <v>0.56624905308548457</v>
      </c>
      <c r="X316" s="204">
        <f t="shared" si="421"/>
        <v>350</v>
      </c>
      <c r="Y316" s="455">
        <f t="shared" si="407"/>
        <v>350</v>
      </c>
      <c r="AA316" s="224">
        <f t="shared" si="422"/>
        <v>0.539238891061395</v>
      </c>
      <c r="AB316" s="180">
        <f t="shared" si="446"/>
        <v>2.2639800769753222</v>
      </c>
      <c r="AC316" s="180">
        <f t="shared" si="447"/>
        <v>0.42728913713264249</v>
      </c>
      <c r="AD316" s="180"/>
      <c r="AE316" s="180">
        <f t="shared" si="425"/>
        <v>1.217557251908397</v>
      </c>
      <c r="AF316" s="564">
        <f t="shared" si="448"/>
        <v>283.21262566209055</v>
      </c>
      <c r="AG316" s="547">
        <f t="shared" si="427"/>
        <v>0.1235820610687023</v>
      </c>
      <c r="AI316" s="180">
        <f t="shared" si="428"/>
        <v>0.26086768303480606</v>
      </c>
      <c r="AJ316" s="180">
        <f t="shared" si="449"/>
        <v>0.28999999999999998</v>
      </c>
      <c r="AK316" s="180">
        <f t="shared" si="450"/>
        <v>1.1618357860926232</v>
      </c>
      <c r="AM316" s="564">
        <f t="shared" si="431"/>
        <v>100</v>
      </c>
      <c r="AN316" s="473">
        <f t="shared" si="432"/>
        <v>283.21262566209055</v>
      </c>
      <c r="AP316">
        <f t="shared" si="433"/>
        <v>100</v>
      </c>
      <c r="AQ316">
        <f t="shared" si="434"/>
        <v>283.21262566209055</v>
      </c>
      <c r="AS316" s="5">
        <f t="shared" si="406"/>
        <v>3.5309160305343519</v>
      </c>
      <c r="AT316" s="5">
        <f t="shared" si="435"/>
        <v>0.31900000000000001</v>
      </c>
      <c r="AU316" s="5">
        <f t="shared" si="439"/>
        <v>3.2119160305343519</v>
      </c>
      <c r="AV316" s="5"/>
      <c r="AW316" s="180">
        <f t="shared" si="440"/>
        <v>9.0344827586206877E-2</v>
      </c>
      <c r="AX316" s="180"/>
      <c r="CB316" s="582">
        <f t="shared" si="436"/>
        <v>-50</v>
      </c>
      <c r="CC316">
        <f t="shared" si="437"/>
        <v>-50</v>
      </c>
    </row>
    <row r="317" spans="5:81" x14ac:dyDescent="0.25">
      <c r="E317" s="177"/>
      <c r="F317" s="224"/>
      <c r="G317" s="224"/>
      <c r="CB317" s="582"/>
    </row>
    <row r="318" spans="5:81" x14ac:dyDescent="0.25">
      <c r="CB318" s="582"/>
    </row>
    <row r="319" spans="5:81" x14ac:dyDescent="0.25">
      <c r="CB319" s="582"/>
    </row>
    <row r="320" spans="5:81" x14ac:dyDescent="0.25">
      <c r="CB320" s="582"/>
    </row>
    <row r="321" spans="80:80" x14ac:dyDescent="0.25">
      <c r="CB321" s="582"/>
    </row>
  </sheetData>
  <mergeCells count="1">
    <mergeCell ref="M3:AA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7030A0"/>
  </sheetPr>
  <dimension ref="B1:CC317"/>
  <sheetViews>
    <sheetView topLeftCell="A73" zoomScaleNormal="100" workbookViewId="0">
      <selection activeCell="Q110" sqref="Q110"/>
    </sheetView>
  </sheetViews>
  <sheetFormatPr defaultRowHeight="13.2" x14ac:dyDescent="0.25"/>
  <cols>
    <col min="1" max="1" width="2.88671875" customWidth="1"/>
    <col min="2" max="2" width="3.5546875" customWidth="1"/>
    <col min="3" max="3" width="2.88671875" customWidth="1"/>
    <col min="4" max="4" width="3.6640625" customWidth="1"/>
    <col min="5" max="5" width="6.109375" customWidth="1"/>
    <col min="6" max="7" width="7.6640625" customWidth="1"/>
    <col min="8" max="9" width="7.88671875" customWidth="1"/>
    <col min="10" max="10" width="6.33203125" customWidth="1"/>
    <col min="11" max="11" width="9.5546875" customWidth="1"/>
    <col min="12" max="12" width="9.33203125" customWidth="1"/>
    <col min="13" max="13" width="1.88671875" customWidth="1"/>
    <col min="14" max="14" width="8.44140625" customWidth="1"/>
    <col min="15" max="16" width="9.5546875" customWidth="1"/>
    <col min="17" max="18" width="8.88671875" customWidth="1"/>
    <col min="19" max="19" width="8.5546875" customWidth="1"/>
    <col min="20" max="20" width="7.5546875" customWidth="1"/>
    <col min="21" max="21" width="9" customWidth="1"/>
    <col min="22" max="22" width="8.88671875" customWidth="1"/>
    <col min="23" max="23" width="10" customWidth="1"/>
    <col min="24" max="24" width="9.5546875" customWidth="1"/>
    <col min="25" max="25" width="1.88671875" customWidth="1"/>
    <col min="26" max="26" width="9.88671875" customWidth="1"/>
    <col min="27" max="27" width="10.44140625" customWidth="1"/>
    <col min="28" max="28" width="10.109375" customWidth="1"/>
    <col min="29" max="29" width="2" customWidth="1"/>
    <col min="30" max="30" width="9.109375" customWidth="1"/>
    <col min="31" max="31" width="9.44140625" customWidth="1"/>
    <col min="32" max="32" width="10.44140625" customWidth="1"/>
    <col min="33" max="33" width="2.109375" customWidth="1"/>
    <col min="35" max="35" width="8" customWidth="1"/>
    <col min="37" max="37" width="2.33203125" customWidth="1"/>
    <col min="38" max="38" width="6.5546875" customWidth="1"/>
    <col min="39" max="39" width="7.5546875" customWidth="1"/>
    <col min="40" max="40" width="2" customWidth="1"/>
    <col min="41" max="41" width="6.44140625" customWidth="1"/>
    <col min="42" max="42" width="7.5546875" customWidth="1"/>
    <col min="43" max="43" width="2.109375" customWidth="1"/>
    <col min="44" max="46" width="7" customWidth="1"/>
    <col min="47" max="47" width="8.44140625" customWidth="1"/>
    <col min="48" max="48" width="2.109375" customWidth="1"/>
    <col min="49" max="50" width="9.44140625" customWidth="1"/>
    <col min="51" max="51" width="9.88671875" customWidth="1"/>
    <col min="52" max="52" width="2" customWidth="1"/>
    <col min="56" max="56" width="2.109375" customWidth="1"/>
    <col min="57" max="57" width="9" customWidth="1"/>
    <col min="58" max="59" width="8.109375" customWidth="1"/>
    <col min="60" max="60" width="8.6640625" customWidth="1"/>
    <col min="61" max="62" width="7.5546875" customWidth="1"/>
    <col min="63" max="64" width="10.33203125" customWidth="1"/>
    <col min="65" max="65" width="9.44140625" customWidth="1"/>
    <col min="66" max="66" width="9.5546875" customWidth="1"/>
    <col min="67" max="67" width="10" customWidth="1"/>
    <col min="68" max="68" width="8.6640625" customWidth="1"/>
    <col min="71" max="71" width="9.88671875" customWidth="1"/>
    <col min="72" max="72" width="12.109375" customWidth="1"/>
    <col min="73" max="73" width="9.109375" customWidth="1"/>
    <col min="75" max="75" width="7.6640625" customWidth="1"/>
    <col min="76" max="76" width="10.44140625" customWidth="1"/>
    <col min="77" max="77" width="12.44140625" bestFit="1" customWidth="1"/>
    <col min="78" max="78" width="6.5546875" customWidth="1"/>
    <col min="79" max="79" width="5" customWidth="1"/>
    <col min="80" max="80" width="9.5546875" customWidth="1"/>
  </cols>
  <sheetData>
    <row r="1" spans="2:81" x14ac:dyDescent="0.25">
      <c r="B1" s="457" t="s">
        <v>532</v>
      </c>
    </row>
    <row r="2" spans="2:81" ht="13.8" thickBot="1" x14ac:dyDescent="0.3">
      <c r="AW2">
        <f>Vout_ripple</f>
        <v>63</v>
      </c>
    </row>
    <row r="3" spans="2:81" x14ac:dyDescent="0.25">
      <c r="E3" s="227" t="s">
        <v>434</v>
      </c>
      <c r="F3" s="559"/>
      <c r="G3" s="559"/>
      <c r="H3" s="559"/>
      <c r="I3" s="559"/>
      <c r="J3" s="228"/>
      <c r="K3" s="229"/>
      <c r="L3" s="543"/>
      <c r="M3" s="543"/>
      <c r="N3" s="687" t="s">
        <v>190</v>
      </c>
      <c r="O3" s="688"/>
      <c r="P3" s="689"/>
      <c r="Q3" s="687"/>
      <c r="R3" s="689"/>
      <c r="S3" s="687"/>
      <c r="T3" s="687"/>
      <c r="U3" s="688"/>
      <c r="V3" s="688"/>
      <c r="W3" s="687"/>
      <c r="X3" s="688"/>
      <c r="Y3" s="687"/>
      <c r="Z3" s="690"/>
      <c r="AA3" s="552"/>
      <c r="AB3" s="552"/>
      <c r="AC3" s="552"/>
      <c r="AD3" s="552"/>
      <c r="AE3" s="552"/>
      <c r="AF3" s="552"/>
      <c r="AG3" s="552"/>
      <c r="AH3" s="552"/>
      <c r="AI3" s="552"/>
      <c r="AJ3" s="552"/>
      <c r="AK3" s="552"/>
      <c r="AL3" s="552"/>
      <c r="AM3" s="552"/>
      <c r="AN3" s="552"/>
      <c r="AO3" s="552"/>
      <c r="AP3" s="552"/>
      <c r="AQ3" s="552"/>
      <c r="AR3" s="552" t="s">
        <v>473</v>
      </c>
      <c r="AS3" s="552"/>
      <c r="AT3" s="552"/>
      <c r="AU3" s="552"/>
      <c r="AV3" s="552"/>
      <c r="AW3" s="552" t="s">
        <v>483</v>
      </c>
      <c r="AX3" s="552" t="s">
        <v>483</v>
      </c>
      <c r="AY3" s="552"/>
      <c r="AZ3" s="552"/>
      <c r="BA3" s="578" t="s">
        <v>484</v>
      </c>
      <c r="BB3" s="552"/>
      <c r="BC3" s="552"/>
      <c r="BD3" s="552"/>
      <c r="BE3" s="578" t="s">
        <v>508</v>
      </c>
      <c r="BF3" s="552"/>
      <c r="BG3" s="552"/>
      <c r="BH3" s="552"/>
      <c r="BI3" s="552"/>
      <c r="BJ3" s="552"/>
      <c r="BK3" s="578" t="s">
        <v>504</v>
      </c>
      <c r="BL3" s="552"/>
      <c r="BM3" s="552"/>
      <c r="BN3" s="552"/>
      <c r="BO3" s="552"/>
      <c r="BP3" s="579" t="s">
        <v>505</v>
      </c>
      <c r="BQ3" s="552"/>
      <c r="BR3" s="552"/>
      <c r="BS3" s="552"/>
      <c r="BT3" s="552"/>
      <c r="BU3" s="552"/>
      <c r="BV3" s="578"/>
      <c r="BW3" s="552"/>
      <c r="BX3" s="552"/>
      <c r="BY3" s="552"/>
      <c r="BZ3" s="552"/>
    </row>
    <row r="4" spans="2:81" ht="45" customHeight="1" thickBot="1" x14ac:dyDescent="0.3">
      <c r="E4" s="248" t="s">
        <v>25</v>
      </c>
      <c r="F4" s="626" t="s">
        <v>605</v>
      </c>
      <c r="G4" s="456" t="s">
        <v>604</v>
      </c>
      <c r="H4" s="627" t="s">
        <v>606</v>
      </c>
      <c r="I4" s="628" t="s">
        <v>607</v>
      </c>
      <c r="J4" s="249" t="s">
        <v>425</v>
      </c>
      <c r="K4" s="250" t="s">
        <v>611</v>
      </c>
      <c r="L4" s="629" t="s">
        <v>426</v>
      </c>
      <c r="M4" s="630"/>
      <c r="N4" s="251" t="s">
        <v>48</v>
      </c>
      <c r="O4" s="630" t="s">
        <v>615</v>
      </c>
      <c r="P4" s="630" t="s">
        <v>631</v>
      </c>
      <c r="Q4" s="630" t="s">
        <v>608</v>
      </c>
      <c r="R4" s="630" t="s">
        <v>609</v>
      </c>
      <c r="S4" s="630" t="s">
        <v>610</v>
      </c>
      <c r="T4" s="630" t="s">
        <v>427</v>
      </c>
      <c r="U4" s="630" t="s">
        <v>479</v>
      </c>
      <c r="V4" s="630" t="s">
        <v>478</v>
      </c>
      <c r="W4" s="631" t="s">
        <v>433</v>
      </c>
      <c r="X4" s="632" t="s">
        <v>438</v>
      </c>
      <c r="Z4" s="252" t="s">
        <v>430</v>
      </c>
      <c r="AA4" s="252" t="s">
        <v>477</v>
      </c>
      <c r="AB4" s="252" t="s">
        <v>612</v>
      </c>
      <c r="AC4" s="563"/>
      <c r="AD4" s="252" t="s">
        <v>476</v>
      </c>
      <c r="AE4" s="631" t="s">
        <v>439</v>
      </c>
      <c r="AF4" s="252" t="s">
        <v>613</v>
      </c>
      <c r="AG4" s="563"/>
      <c r="AH4" s="252" t="s">
        <v>442</v>
      </c>
      <c r="AI4" s="567" t="s">
        <v>443</v>
      </c>
      <c r="AJ4" s="567" t="s">
        <v>444</v>
      </c>
      <c r="AL4" s="562" t="s">
        <v>276</v>
      </c>
      <c r="AM4" s="562" t="s">
        <v>445</v>
      </c>
      <c r="AO4" s="252" t="s">
        <v>276</v>
      </c>
      <c r="AP4" s="252" t="s">
        <v>445</v>
      </c>
      <c r="AQ4" s="568"/>
      <c r="AR4" s="252" t="s">
        <v>480</v>
      </c>
      <c r="AS4" s="252" t="s">
        <v>474</v>
      </c>
      <c r="AT4" s="252" t="s">
        <v>475</v>
      </c>
      <c r="AU4" s="252" t="s">
        <v>48</v>
      </c>
      <c r="AV4" s="563"/>
      <c r="AW4" s="252" t="s">
        <v>616</v>
      </c>
      <c r="AX4" s="252" t="s">
        <v>617</v>
      </c>
      <c r="AY4" s="252" t="s">
        <v>531</v>
      </c>
      <c r="AZ4" s="563"/>
      <c r="BA4" s="577" t="s">
        <v>469</v>
      </c>
      <c r="BB4" s="252" t="s">
        <v>624</v>
      </c>
      <c r="BC4" s="252" t="s">
        <v>623</v>
      </c>
      <c r="BD4" s="563"/>
      <c r="BE4" s="577" t="s">
        <v>487</v>
      </c>
      <c r="BF4" s="252" t="s">
        <v>488</v>
      </c>
      <c r="BG4" s="252" t="s">
        <v>486</v>
      </c>
      <c r="BH4" s="252" t="s">
        <v>482</v>
      </c>
      <c r="BI4" s="252" t="s">
        <v>491</v>
      </c>
      <c r="BJ4" s="252" t="s">
        <v>506</v>
      </c>
      <c r="BK4" s="577" t="s">
        <v>626</v>
      </c>
      <c r="BL4" s="252" t="s">
        <v>625</v>
      </c>
      <c r="BM4" s="252" t="s">
        <v>490</v>
      </c>
      <c r="BN4" s="252" t="s">
        <v>498</v>
      </c>
      <c r="BO4" s="252" t="s">
        <v>502</v>
      </c>
      <c r="BP4" s="577" t="s">
        <v>471</v>
      </c>
      <c r="BQ4" s="252" t="s">
        <v>628</v>
      </c>
      <c r="BR4" s="252" t="s">
        <v>627</v>
      </c>
      <c r="BS4" s="252" t="s">
        <v>481</v>
      </c>
      <c r="BT4" s="252" t="s">
        <v>499</v>
      </c>
      <c r="BU4" s="252" t="s">
        <v>501</v>
      </c>
      <c r="BV4" s="577" t="s">
        <v>497</v>
      </c>
      <c r="BW4" s="252" t="s">
        <v>224</v>
      </c>
      <c r="BX4" s="252" t="s">
        <v>47</v>
      </c>
      <c r="BY4" s="252" t="s">
        <v>500</v>
      </c>
      <c r="BZ4" s="252" t="s">
        <v>629</v>
      </c>
      <c r="CB4" s="590" t="s">
        <v>513</v>
      </c>
    </row>
    <row r="5" spans="2:81" x14ac:dyDescent="0.25">
      <c r="E5" s="177">
        <v>0.1</v>
      </c>
      <c r="F5" s="224">
        <v>1.0000000000000001E-9</v>
      </c>
      <c r="G5" s="224">
        <v>1.0000000000000001E-9</v>
      </c>
      <c r="H5" s="224">
        <f t="shared" ref="H5:H36" si="0">F5*Vout</f>
        <v>6.3000000000000002E-9</v>
      </c>
      <c r="I5" s="224">
        <f>G5*Vout2</f>
        <v>1.5000000000000002E-8</v>
      </c>
      <c r="J5" s="560">
        <f t="shared" ref="J5:J68" si="1">Vin</f>
        <v>24</v>
      </c>
      <c r="K5" s="455">
        <f t="shared" ref="K5:K68" si="2">(S5+Vfwd1)*Nps</f>
        <v>13.1</v>
      </c>
      <c r="L5" s="455">
        <f t="shared" ref="L5:L68" si="3">(Vout+Vfwd1)*Nps+J5</f>
        <v>37.1</v>
      </c>
      <c r="M5" s="455"/>
      <c r="N5" s="224">
        <f t="shared" ref="N5:N68" si="4">(Vout+Vfwd1)*Nps/((Vout+Vfwd1)*Nps+J5)</f>
        <v>0.35309973045822102</v>
      </c>
      <c r="O5" s="179">
        <f>N5*J5*Isw_max*0.5*Efficiency*(Pout/Pout_total)</f>
        <v>1.6354982726547966</v>
      </c>
      <c r="P5" s="179">
        <f t="shared" ref="P5:P36" si="5">N5*J5*Isw_max*0.5*Efficiency*(Pout2/Pout_total)</f>
        <v>3.8940435063209446</v>
      </c>
      <c r="Q5" s="224">
        <f t="shared" ref="Q5:Q68" si="6">O5/Vout</f>
        <v>0.25960290042139628</v>
      </c>
      <c r="R5" s="224">
        <f t="shared" ref="R5:R36" si="7">O5/Vout2</f>
        <v>0.10903321817698644</v>
      </c>
      <c r="S5" s="455">
        <f t="shared" ref="S5:S36" si="8">MIN(Vout,O5/F5)</f>
        <v>6.3</v>
      </c>
      <c r="T5" s="224">
        <f t="shared" ref="T5:T36" si="9">MIN(2*(Vout*F5+Vout2*G5)/(Efficiency*J5*N5), Isw_max)</f>
        <v>5.5854537743850726E-9</v>
      </c>
      <c r="U5" s="224">
        <f t="shared" ref="U5:U68" si="10">L*T5/J5*1000000</f>
        <v>1.2799998232965793E-8</v>
      </c>
      <c r="V5" s="224">
        <f t="shared" ref="V5:V68" si="11">L*T5/K5*1000000</f>
        <v>2.3450378442074733E-8</v>
      </c>
      <c r="W5" s="204">
        <f t="shared" ref="W5:W68" si="12">IF(1/((350000*L)*(1/J5+1/K5))&gt;Isw_min, 350, 0.001/((Isw_min*L)*(1/J5+1/K5)))</f>
        <v>350</v>
      </c>
      <c r="X5" s="455">
        <f>MIN(1/(U5+V5)*1000, 350)</f>
        <v>350</v>
      </c>
      <c r="Z5" s="224">
        <f t="shared" ref="Z5:Z68" si="13">1/((W5*1000*L)*(1/J5+1/K5))</f>
        <v>0.44022823537648331</v>
      </c>
      <c r="AA5" s="180">
        <f t="shared" ref="AA5:AA68" si="14">L*Z5/K5*1000000</f>
        <v>1.8482864844050828</v>
      </c>
      <c r="AB5" s="180">
        <f t="shared" ref="AB5:AB36" si="15">0.5*AA5*Z5*Nps*W5/1000*(Pout/Pout_total)</f>
        <v>8.4231817558083441E-2</v>
      </c>
      <c r="AC5" s="180"/>
      <c r="AD5" s="180">
        <f t="shared" ref="AD5:AD68" si="16">L*Isw_min/K5*1000000</f>
        <v>1.217557251908397</v>
      </c>
      <c r="AE5" s="564">
        <f t="shared" ref="AE5:AE36" si="17">MAX(10, F5/(0.5*AD5/1000000*Isw_min*Nps)/1000*Pout_total/Pout)</f>
        <v>10</v>
      </c>
      <c r="AF5" s="547">
        <f t="shared" ref="AF5:AF36" si="18">0.5*AD5/1000000*Isw_min*Nps*W5*1000*(Pout/Pout_total)</f>
        <v>3.6552440597785188E-2</v>
      </c>
      <c r="AH5" s="180">
        <f t="shared" ref="AH5:AH36" si="19">SQRT((H5+I5)/(0.5*L*Fsw_DCM))</f>
        <v>4.7042395910359551E-5</v>
      </c>
      <c r="AI5" s="180">
        <f t="shared" ref="AI5:AI36" si="20">MAX(IF(F5&gt;AB5,T5,AH5),Isw_min)</f>
        <v>0.28999999999999998</v>
      </c>
      <c r="AJ5" s="180">
        <f t="shared" ref="AJ5:AJ36" si="21">IF(F5&gt;AF5, (AI5-Isw_min)/1.08*0.8+1.2, AE5*0.2/350+1)</f>
        <v>1.0057142857142858</v>
      </c>
      <c r="AL5" s="564">
        <f t="shared" ref="AL5:AL36" si="22">F5*1000</f>
        <v>1.0000000000000002E-6</v>
      </c>
      <c r="AM5" s="473">
        <f t="shared" ref="AM5:AM36" si="23">IF(F5&gt;AF5, X5, AE5)</f>
        <v>10</v>
      </c>
      <c r="AO5">
        <f>IF(H5&gt;O5, "",AL5)</f>
        <v>1.0000000000000002E-6</v>
      </c>
      <c r="AP5" s="473">
        <f t="shared" ref="AP5:AP68" si="24">IF(H5&gt;O5, "",AM5)</f>
        <v>10</v>
      </c>
      <c r="AQ5" s="473"/>
      <c r="AR5" s="5">
        <f>1/AM5*1000</f>
        <v>100</v>
      </c>
      <c r="AS5" s="5">
        <f t="shared" ref="AS5:AS68" si="25">L*AI5/J5*1000000</f>
        <v>0.6645833333333333</v>
      </c>
      <c r="AT5" s="5">
        <f>AR5-AS5</f>
        <v>99.33541666666666</v>
      </c>
      <c r="AU5" s="180">
        <f>AS5/AR5</f>
        <v>6.6458333333333335E-3</v>
      </c>
      <c r="AW5" s="5">
        <f t="shared" ref="AW5:AW36" si="26">F5*AS5/Vout_ripple*1000</f>
        <v>1.05489417989418E-8</v>
      </c>
      <c r="AX5" s="5">
        <f t="shared" ref="AX5:AX36" si="27">G5*AS5/Vout_ripple2*1000</f>
        <v>4.4305555555555558E-9</v>
      </c>
      <c r="AY5" s="5">
        <f t="shared" ref="AY5:AY68" si="28">H5/Efficiency/J5*AT5/Vinripple1</f>
        <v>2.4144024884259253E-8</v>
      </c>
      <c r="AZ5" s="5"/>
      <c r="BA5" s="180">
        <f>AI5*SQRT(AU5/3)</f>
        <v>1.3649353871561506E-2</v>
      </c>
      <c r="BB5" s="180">
        <f t="shared" ref="BB5:BB36" si="29">AI5*Npri_sec1*SQRT((1-AU5)/3)*(Pout/Pout_total)</f>
        <v>9.8714368394244953E-2</v>
      </c>
      <c r="BC5" s="180">
        <f t="shared" ref="BC5:BC36" si="30">AI5*Npri_sec2*SQRT((1-AU5)/3)*(Pout2/Pout_total)</f>
        <v>0.10094911990356041</v>
      </c>
      <c r="BD5" s="180"/>
      <c r="BE5" s="547">
        <f t="shared" ref="BE5:BE68" si="31">Rdson*BA5^2</f>
        <v>6.5206701388888875E-5</v>
      </c>
      <c r="BF5" s="547">
        <f t="shared" ref="BF5:BF68" si="32">0.5*L5*AI5*AM5*1000*Trise</f>
        <v>1.0759000000000001E-3</v>
      </c>
      <c r="BG5" s="547">
        <f t="shared" ref="BG5:BG68" si="33">Qg*Vdd*AM5*1000</f>
        <v>1.25E-4</v>
      </c>
      <c r="BH5" s="547">
        <f t="shared" ref="BH5:BH68" si="34">0.5*(Coss+Csw)*L5^2*AM5*1000</f>
        <v>7.9143575000000009E-4</v>
      </c>
      <c r="BI5">
        <f t="shared" ref="BI5:BI68" si="35">J5*IQ</f>
        <v>6.96E-3</v>
      </c>
      <c r="BJ5" s="473">
        <f>SUM(BE5:BI5)*1000</f>
        <v>9.0175424513888895</v>
      </c>
      <c r="BK5" s="180">
        <f t="shared" ref="BK5:BK36" si="36">Vfwd2*F5</f>
        <v>3.4999999999999998E-10</v>
      </c>
      <c r="BL5" s="180">
        <f t="shared" ref="BL5:BL36" si="37">Vfwd2*G5</f>
        <v>3.4999999999999998E-10</v>
      </c>
      <c r="BM5" s="547"/>
      <c r="BO5" s="473">
        <f>SUM(BK5:BN5)*1000</f>
        <v>6.9999999999999997E-7</v>
      </c>
      <c r="BP5" s="547">
        <f t="shared" ref="BP5:BP68" si="38">Rdcr_pri*BA5^2</f>
        <v>2.0493534722222218E-5</v>
      </c>
      <c r="BQ5" s="547">
        <f>Rdcr_sec*BB5^2</f>
        <v>3.4105842846161475E-4</v>
      </c>
      <c r="BR5" s="547">
        <f t="shared" ref="BR5:BR36" si="39">Rdcr_sec2*BC5^2</f>
        <v>3.0572174427910244E-4</v>
      </c>
      <c r="BS5" s="547">
        <f t="shared" ref="BS5:BS68" si="40">AI5^2.5*AM5^2.5*k_core</f>
        <v>7.1608569668720578E-7</v>
      </c>
      <c r="BT5" s="657">
        <f t="shared" ref="BT5:BT36" si="41">0.5*Lleak*0.000000001*AI5^2*AM5*1000</f>
        <v>8.4100000000000006E-4</v>
      </c>
      <c r="BU5" s="473">
        <f>SUM(BP5:BT5)*1000</f>
        <v>1.5089897931596266</v>
      </c>
      <c r="BV5" s="180">
        <f>SUM(BE5:BI5,BK5:BN5,BP5:BT5)</f>
        <v>1.0526532944548516E-2</v>
      </c>
      <c r="BW5" s="5">
        <f>MIN(H5+I5,O5+P5)</f>
        <v>2.1300000000000002E-8</v>
      </c>
      <c r="BX5" s="180">
        <f>BW5/(BW5+BV5)</f>
        <v>2.0234541622232014E-6</v>
      </c>
      <c r="BY5" s="5">
        <f>BX5*100</f>
        <v>2.0234541622232013E-4</v>
      </c>
      <c r="BZ5">
        <v>0</v>
      </c>
      <c r="CB5" s="582">
        <f t="shared" ref="CB5:CB36" si="42">IF(ABS(F5-Ioutmax_Vinnom)&lt;Iout/200, AM5, -50)</f>
        <v>-50</v>
      </c>
      <c r="CC5">
        <f t="shared" ref="CC5:CC36" si="43">IF(ABS(F5-Ioutmax_Vinnom)&lt;Iout/200, (O5+P5)*BX5, -50)</f>
        <v>-50</v>
      </c>
    </row>
    <row r="6" spans="2:81" x14ac:dyDescent="0.25">
      <c r="E6" s="177">
        <v>1</v>
      </c>
      <c r="F6" s="224">
        <f>IF(PLOT_TYPE=1, E6/100*Iout, min_I*EXP(O6*rr/100))</f>
        <v>1E-3</v>
      </c>
      <c r="G6" s="224">
        <f t="shared" ref="G6:G37" si="44">IF(PLOT_TYPE=1, E6/100*Iout2, min_I*EXP(Q6*rr/100))</f>
        <v>1E-3</v>
      </c>
      <c r="H6" s="224">
        <f t="shared" si="0"/>
        <v>6.3E-3</v>
      </c>
      <c r="I6" s="224">
        <f>G6*Vout2</f>
        <v>1.4999999999999999E-2</v>
      </c>
      <c r="J6" s="560">
        <f t="shared" si="1"/>
        <v>24</v>
      </c>
      <c r="K6" s="455">
        <f t="shared" si="2"/>
        <v>13.1</v>
      </c>
      <c r="L6" s="455">
        <f t="shared" si="3"/>
        <v>37.1</v>
      </c>
      <c r="M6" s="455"/>
      <c r="N6" s="224">
        <f t="shared" si="4"/>
        <v>0.35309973045822102</v>
      </c>
      <c r="O6" s="179">
        <f t="shared" ref="O6:O37" si="45">N6*J6*Isw_max*0.5*Efficiency*Pout/(Pout+Pout2)</f>
        <v>1.6354982726547966</v>
      </c>
      <c r="P6" s="179">
        <f t="shared" si="5"/>
        <v>3.8940435063209446</v>
      </c>
      <c r="Q6" s="224">
        <f t="shared" si="6"/>
        <v>0.25960290042139628</v>
      </c>
      <c r="R6" s="224">
        <f t="shared" si="7"/>
        <v>0.10903321817698644</v>
      </c>
      <c r="S6" s="455">
        <f t="shared" si="8"/>
        <v>6.3</v>
      </c>
      <c r="T6" s="224">
        <f t="shared" si="9"/>
        <v>5.5854537743850715E-3</v>
      </c>
      <c r="U6" s="224">
        <f t="shared" si="10"/>
        <v>1.2799998232965787E-2</v>
      </c>
      <c r="V6" s="224">
        <f t="shared" si="11"/>
        <v>2.3450378442074728E-2</v>
      </c>
      <c r="W6" s="204">
        <f t="shared" si="12"/>
        <v>350</v>
      </c>
      <c r="X6" s="455">
        <f t="shared" ref="X6:X69" si="46">MIN(1/(U6+V6)*1000, 350)</f>
        <v>350</v>
      </c>
      <c r="Z6" s="224">
        <f t="shared" si="13"/>
        <v>0.44022823537648331</v>
      </c>
      <c r="AA6" s="180">
        <f t="shared" si="14"/>
        <v>1.8482864844050828</v>
      </c>
      <c r="AB6" s="180">
        <f t="shared" si="15"/>
        <v>8.4231817558083441E-2</v>
      </c>
      <c r="AC6" s="180"/>
      <c r="AD6" s="180">
        <f t="shared" si="16"/>
        <v>1.217557251908397</v>
      </c>
      <c r="AE6" s="564">
        <f t="shared" si="17"/>
        <v>10</v>
      </c>
      <c r="AF6" s="547">
        <f t="shared" si="18"/>
        <v>3.6552440597785188E-2</v>
      </c>
      <c r="AH6" s="180">
        <f t="shared" si="19"/>
        <v>4.7042395910359552E-2</v>
      </c>
      <c r="AI6" s="180">
        <f t="shared" si="20"/>
        <v>0.28999999999999998</v>
      </c>
      <c r="AJ6" s="180">
        <f t="shared" si="21"/>
        <v>1.0057142857142858</v>
      </c>
      <c r="AL6" s="564">
        <f t="shared" si="22"/>
        <v>1</v>
      </c>
      <c r="AM6" s="473">
        <f t="shared" si="23"/>
        <v>10</v>
      </c>
      <c r="AO6">
        <f t="shared" ref="AO6:AO69" si="47">IF(H6&gt;O6, "",AL6)</f>
        <v>1</v>
      </c>
      <c r="AP6" s="473">
        <f t="shared" si="24"/>
        <v>10</v>
      </c>
      <c r="AQ6" s="473"/>
      <c r="AR6" s="5">
        <f t="shared" ref="AR6:AR69" si="48">1/AM6*1000</f>
        <v>100</v>
      </c>
      <c r="AS6" s="5">
        <f t="shared" si="25"/>
        <v>0.6645833333333333</v>
      </c>
      <c r="AT6" s="5">
        <f t="shared" ref="AT6:AT69" si="49">AR6-AS6</f>
        <v>99.33541666666666</v>
      </c>
      <c r="AU6" s="180">
        <f t="shared" ref="AU6:AU69" si="50">AS6/AR6</f>
        <v>6.6458333333333335E-3</v>
      </c>
      <c r="AW6" s="5">
        <f t="shared" si="26"/>
        <v>1.0548941798941799E-2</v>
      </c>
      <c r="AX6" s="5">
        <f t="shared" si="27"/>
        <v>4.4305555555555556E-3</v>
      </c>
      <c r="AY6" s="5">
        <f t="shared" si="28"/>
        <v>2.4144024884259256E-2</v>
      </c>
      <c r="AZ6" s="5"/>
      <c r="BA6" s="180">
        <f t="shared" ref="BA6:BA69" si="51">AI6*SQRT(AU6/3)</f>
        <v>1.3649353871561506E-2</v>
      </c>
      <c r="BB6" s="180">
        <f t="shared" si="29"/>
        <v>9.8714368394244953E-2</v>
      </c>
      <c r="BC6" s="180">
        <f t="shared" si="30"/>
        <v>0.10094911990356041</v>
      </c>
      <c r="BD6" s="180"/>
      <c r="BE6" s="547">
        <f t="shared" si="31"/>
        <v>6.5206701388888875E-5</v>
      </c>
      <c r="BF6" s="547">
        <f t="shared" si="32"/>
        <v>1.0759000000000001E-3</v>
      </c>
      <c r="BG6" s="547">
        <f t="shared" si="33"/>
        <v>1.25E-4</v>
      </c>
      <c r="BH6" s="547">
        <f t="shared" si="34"/>
        <v>7.9143575000000009E-4</v>
      </c>
      <c r="BI6">
        <f t="shared" si="35"/>
        <v>6.96E-3</v>
      </c>
      <c r="BJ6" s="473">
        <f t="shared" ref="BJ6:BJ69" si="52">SUM(BE6:BI6)*1000</f>
        <v>9.0175424513888895</v>
      </c>
      <c r="BK6" s="180">
        <f t="shared" si="36"/>
        <v>3.5E-4</v>
      </c>
      <c r="BL6" s="180">
        <f t="shared" si="37"/>
        <v>3.5E-4</v>
      </c>
      <c r="BM6" s="547"/>
      <c r="BO6" s="473">
        <f t="shared" ref="BO6:BO69" si="53">SUM(BK6:BN6)*1000</f>
        <v>0.7</v>
      </c>
      <c r="BP6" s="547">
        <f t="shared" si="38"/>
        <v>2.0493534722222218E-5</v>
      </c>
      <c r="BQ6" s="547">
        <f t="shared" ref="BQ6:BQ68" si="54">Rdcr_sec*BB6^2</f>
        <v>3.4105842846161475E-4</v>
      </c>
      <c r="BR6" s="547">
        <f t="shared" si="39"/>
        <v>3.0572174427910244E-4</v>
      </c>
      <c r="BS6" s="547">
        <f t="shared" si="40"/>
        <v>7.1608569668720578E-7</v>
      </c>
      <c r="BT6" s="657">
        <f t="shared" si="41"/>
        <v>8.4100000000000006E-4</v>
      </c>
      <c r="BU6" s="473">
        <f t="shared" ref="BU6:BU69" si="55">SUM(BP6:BT6)*1000</f>
        <v>1.5089897931596266</v>
      </c>
      <c r="BV6" s="180">
        <f t="shared" ref="BV6:BV69" si="56">SUM(BE6:BI6,BK6:BN6,BP6:BT6)</f>
        <v>1.1226532244548516E-2</v>
      </c>
      <c r="BW6" s="5">
        <f t="shared" ref="BW6:BW69" si="57">MIN(H6+I6,O6+P6)</f>
        <v>2.1299999999999999E-2</v>
      </c>
      <c r="BX6" s="180">
        <f t="shared" ref="BX6:BX69" si="58">BW6/(BW6+BV6)</f>
        <v>0.65485001105735463</v>
      </c>
      <c r="BY6" s="5">
        <f t="shared" ref="BY6:BY69" si="59">BX6*100</f>
        <v>65.485001105735464</v>
      </c>
      <c r="BZ6">
        <f t="shared" ref="BZ6:BZ37" si="60">F6/Iout*100</f>
        <v>1</v>
      </c>
      <c r="CB6" s="582">
        <f t="shared" si="42"/>
        <v>-50</v>
      </c>
      <c r="CC6">
        <f t="shared" si="43"/>
        <v>-50</v>
      </c>
    </row>
    <row r="7" spans="2:81" x14ac:dyDescent="0.25">
      <c r="E7" s="177">
        <v>2</v>
      </c>
      <c r="F7" s="224">
        <f>IF(PLOT_TYPE=1, E7/100*Iout, min_I*EXP(O7*rr/100))</f>
        <v>2E-3</v>
      </c>
      <c r="G7" s="224">
        <f t="shared" si="44"/>
        <v>2E-3</v>
      </c>
      <c r="H7" s="224">
        <f t="shared" si="0"/>
        <v>1.26E-2</v>
      </c>
      <c r="I7" s="224">
        <f>G7*Vout2</f>
        <v>0.03</v>
      </c>
      <c r="J7" s="560">
        <f t="shared" si="1"/>
        <v>24</v>
      </c>
      <c r="K7" s="455">
        <f t="shared" si="2"/>
        <v>13.1</v>
      </c>
      <c r="L7" s="455">
        <f t="shared" si="3"/>
        <v>37.1</v>
      </c>
      <c r="M7" s="455"/>
      <c r="N7" s="224">
        <f t="shared" si="4"/>
        <v>0.35309973045822102</v>
      </c>
      <c r="O7" s="179">
        <f t="shared" si="45"/>
        <v>1.6354982726547966</v>
      </c>
      <c r="P7" s="179">
        <f t="shared" si="5"/>
        <v>3.8940435063209446</v>
      </c>
      <c r="Q7" s="224">
        <f t="shared" si="6"/>
        <v>0.25960290042139628</v>
      </c>
      <c r="R7" s="224">
        <f t="shared" si="7"/>
        <v>0.10903321817698644</v>
      </c>
      <c r="S7" s="455">
        <f t="shared" si="8"/>
        <v>6.3</v>
      </c>
      <c r="T7" s="224">
        <f t="shared" si="9"/>
        <v>1.1170907548770143E-2</v>
      </c>
      <c r="U7" s="224">
        <f t="shared" si="10"/>
        <v>2.5599996465931574E-2</v>
      </c>
      <c r="V7" s="224">
        <f t="shared" si="11"/>
        <v>4.6900756884149457E-2</v>
      </c>
      <c r="W7" s="204">
        <f t="shared" si="12"/>
        <v>350</v>
      </c>
      <c r="X7" s="455">
        <f t="shared" si="46"/>
        <v>350</v>
      </c>
      <c r="Z7" s="224">
        <f t="shared" si="13"/>
        <v>0.44022823537648331</v>
      </c>
      <c r="AA7" s="180">
        <f t="shared" si="14"/>
        <v>1.8482864844050828</v>
      </c>
      <c r="AB7" s="180">
        <f t="shared" si="15"/>
        <v>8.4231817558083441E-2</v>
      </c>
      <c r="AC7" s="180"/>
      <c r="AD7" s="180">
        <f t="shared" si="16"/>
        <v>1.217557251908397</v>
      </c>
      <c r="AE7" s="564">
        <f t="shared" si="17"/>
        <v>19.150568020960407</v>
      </c>
      <c r="AF7" s="547">
        <f t="shared" si="18"/>
        <v>3.6552440597785188E-2</v>
      </c>
      <c r="AH7" s="180">
        <f t="shared" si="19"/>
        <v>6.6527994302955099E-2</v>
      </c>
      <c r="AI7" s="180">
        <f t="shared" si="20"/>
        <v>0.28999999999999998</v>
      </c>
      <c r="AJ7" s="180">
        <f t="shared" si="21"/>
        <v>1.0109431817262631</v>
      </c>
      <c r="AL7" s="564">
        <f t="shared" si="22"/>
        <v>2</v>
      </c>
      <c r="AM7" s="473">
        <f t="shared" si="23"/>
        <v>19.150568020960407</v>
      </c>
      <c r="AO7">
        <f t="shared" si="47"/>
        <v>2</v>
      </c>
      <c r="AP7" s="473">
        <f t="shared" si="24"/>
        <v>19.150568020960407</v>
      </c>
      <c r="AQ7" s="473"/>
      <c r="AR7" s="5">
        <f t="shared" si="48"/>
        <v>52.217772282550278</v>
      </c>
      <c r="AS7" s="5">
        <f t="shared" si="25"/>
        <v>0.6645833333333333</v>
      </c>
      <c r="AT7" s="5">
        <f t="shared" si="49"/>
        <v>51.553188949216946</v>
      </c>
      <c r="AU7" s="180">
        <f t="shared" si="50"/>
        <v>1.2727148330596603E-2</v>
      </c>
      <c r="AW7" s="5">
        <f t="shared" si="26"/>
        <v>2.1097883597883598E-2</v>
      </c>
      <c r="AX7" s="5">
        <f t="shared" si="27"/>
        <v>8.8611111111111113E-3</v>
      </c>
      <c r="AY7" s="5">
        <f t="shared" si="28"/>
        <v>2.5060577961424902E-2</v>
      </c>
      <c r="AZ7" s="5"/>
      <c r="BA7" s="180">
        <f t="shared" si="51"/>
        <v>1.8888737160921886E-2</v>
      </c>
      <c r="BB7" s="180">
        <f t="shared" si="29"/>
        <v>9.8411739789185326E-2</v>
      </c>
      <c r="BC7" s="180">
        <f t="shared" si="30"/>
        <v>0.10063964022157126</v>
      </c>
      <c r="BD7" s="180"/>
      <c r="BE7" s="547">
        <f t="shared" si="31"/>
        <v>1.2487453703703699E-4</v>
      </c>
      <c r="BF7" s="547">
        <f t="shared" si="32"/>
        <v>2.0604096133751302E-3</v>
      </c>
      <c r="BG7" s="547">
        <f t="shared" si="33"/>
        <v>2.3938210026200508E-4</v>
      </c>
      <c r="BH7" s="547">
        <f t="shared" si="34"/>
        <v>1.5156444164594817E-3</v>
      </c>
      <c r="BI7">
        <f t="shared" si="35"/>
        <v>6.96E-3</v>
      </c>
      <c r="BJ7" s="473">
        <f t="shared" si="52"/>
        <v>10.900310667133654</v>
      </c>
      <c r="BK7" s="180">
        <f t="shared" si="36"/>
        <v>6.9999999999999999E-4</v>
      </c>
      <c r="BL7" s="180">
        <f t="shared" si="37"/>
        <v>6.9999999999999999E-4</v>
      </c>
      <c r="BM7" s="547"/>
      <c r="BO7" s="473">
        <f t="shared" si="53"/>
        <v>1.4</v>
      </c>
      <c r="BP7" s="547">
        <f t="shared" si="38"/>
        <v>3.9246283068783057E-5</v>
      </c>
      <c r="BQ7" s="547">
        <f t="shared" si="54"/>
        <v>3.3897046849170134E-4</v>
      </c>
      <c r="BR7" s="547">
        <f t="shared" si="39"/>
        <v>3.0385011551781915E-4</v>
      </c>
      <c r="BS7" s="547">
        <f t="shared" si="40"/>
        <v>3.6342864017640764E-6</v>
      </c>
      <c r="BT7" s="657">
        <f t="shared" si="41"/>
        <v>1.6105627705627703E-3</v>
      </c>
      <c r="BU7" s="473">
        <f t="shared" si="55"/>
        <v>2.2962639240428375</v>
      </c>
      <c r="BV7" s="180">
        <f t="shared" si="56"/>
        <v>1.4596574591176491E-2</v>
      </c>
      <c r="BW7" s="5">
        <f t="shared" si="57"/>
        <v>4.2599999999999999E-2</v>
      </c>
      <c r="BX7" s="180">
        <f t="shared" si="58"/>
        <v>0.74479984692250689</v>
      </c>
      <c r="BY7" s="5">
        <f t="shared" si="59"/>
        <v>74.479984692250696</v>
      </c>
      <c r="BZ7">
        <f t="shared" si="60"/>
        <v>2</v>
      </c>
      <c r="CB7" s="582">
        <f t="shared" si="42"/>
        <v>-50</v>
      </c>
      <c r="CC7">
        <f t="shared" si="43"/>
        <v>-50</v>
      </c>
    </row>
    <row r="8" spans="2:81" x14ac:dyDescent="0.25">
      <c r="E8" s="177">
        <v>3</v>
      </c>
      <c r="F8" s="224">
        <f t="shared" ref="F8:F39" si="61">IF(PLOT_TYPE=1, E8/100*Iout_max, min_I*EXP(O8*rr/100))</f>
        <v>3.0000000000000001E-3</v>
      </c>
      <c r="G8" s="224">
        <f t="shared" si="44"/>
        <v>3.0000000000000001E-3</v>
      </c>
      <c r="H8" s="224">
        <f t="shared" si="0"/>
        <v>1.89E-2</v>
      </c>
      <c r="I8" s="224">
        <f t="shared" ref="I8:I39" si="62">Vout2*G8</f>
        <v>4.4999999999999998E-2</v>
      </c>
      <c r="J8" s="560">
        <f t="shared" si="1"/>
        <v>24</v>
      </c>
      <c r="K8" s="455">
        <f t="shared" si="2"/>
        <v>13.1</v>
      </c>
      <c r="L8" s="455">
        <f t="shared" si="3"/>
        <v>37.1</v>
      </c>
      <c r="M8" s="455"/>
      <c r="N8" s="224">
        <f t="shared" si="4"/>
        <v>0.35309973045822102</v>
      </c>
      <c r="O8" s="179">
        <f t="shared" si="45"/>
        <v>1.6354982726547966</v>
      </c>
      <c r="P8" s="179">
        <f t="shared" si="5"/>
        <v>3.8940435063209446</v>
      </c>
      <c r="Q8" s="224">
        <f t="shared" si="6"/>
        <v>0.25960290042139628</v>
      </c>
      <c r="R8" s="224">
        <f t="shared" si="7"/>
        <v>0.10903321817698644</v>
      </c>
      <c r="S8" s="455">
        <f t="shared" si="8"/>
        <v>6.3</v>
      </c>
      <c r="T8" s="224">
        <f t="shared" si="9"/>
        <v>1.6756361323155215E-2</v>
      </c>
      <c r="U8" s="224">
        <f t="shared" si="10"/>
        <v>3.839999469889737E-2</v>
      </c>
      <c r="V8" s="224">
        <f t="shared" si="11"/>
        <v>7.0351135326224196E-2</v>
      </c>
      <c r="W8" s="204">
        <f t="shared" si="12"/>
        <v>350</v>
      </c>
      <c r="X8" s="455">
        <f t="shared" si="46"/>
        <v>350</v>
      </c>
      <c r="Z8" s="224">
        <f t="shared" si="13"/>
        <v>0.44022823537648331</v>
      </c>
      <c r="AA8" s="180">
        <f t="shared" si="14"/>
        <v>1.8482864844050828</v>
      </c>
      <c r="AB8" s="180">
        <f t="shared" si="15"/>
        <v>8.4231817558083441E-2</v>
      </c>
      <c r="AC8" s="180"/>
      <c r="AD8" s="180">
        <f t="shared" si="16"/>
        <v>1.217557251908397</v>
      </c>
      <c r="AE8" s="564">
        <f t="shared" si="17"/>
        <v>28.725852031440606</v>
      </c>
      <c r="AF8" s="547">
        <f t="shared" si="18"/>
        <v>3.6552440597785188E-2</v>
      </c>
      <c r="AH8" s="180">
        <f t="shared" si="19"/>
        <v>8.1479819826513117E-2</v>
      </c>
      <c r="AI8" s="180">
        <f t="shared" si="20"/>
        <v>0.28999999999999998</v>
      </c>
      <c r="AJ8" s="180">
        <f t="shared" si="21"/>
        <v>1.0164147725893946</v>
      </c>
      <c r="AL8" s="564">
        <f t="shared" si="22"/>
        <v>3</v>
      </c>
      <c r="AM8" s="473">
        <f t="shared" si="23"/>
        <v>28.725852031440606</v>
      </c>
      <c r="AO8">
        <f t="shared" si="47"/>
        <v>3</v>
      </c>
      <c r="AP8" s="473">
        <f t="shared" si="24"/>
        <v>28.725852031440606</v>
      </c>
      <c r="AQ8" s="473"/>
      <c r="AR8" s="5">
        <f t="shared" si="48"/>
        <v>34.811848188366859</v>
      </c>
      <c r="AS8" s="5">
        <f t="shared" si="25"/>
        <v>0.6645833333333333</v>
      </c>
      <c r="AT8" s="5">
        <f t="shared" si="49"/>
        <v>34.147264855033526</v>
      </c>
      <c r="AU8" s="180">
        <f t="shared" si="50"/>
        <v>1.9090722495894899E-2</v>
      </c>
      <c r="AW8" s="5">
        <f t="shared" si="26"/>
        <v>3.1646825396825395E-2</v>
      </c>
      <c r="AX8" s="5">
        <f t="shared" si="27"/>
        <v>1.3291666666666665E-2</v>
      </c>
      <c r="AY8" s="5">
        <f t="shared" si="28"/>
        <v>2.4899047290128609E-2</v>
      </c>
      <c r="AZ8" s="5"/>
      <c r="BA8" s="180">
        <f t="shared" si="51"/>
        <v>2.3133883964902801E-2</v>
      </c>
      <c r="BB8" s="180">
        <f t="shared" si="29"/>
        <v>9.8094065292989127E-2</v>
      </c>
      <c r="BC8" s="180">
        <f t="shared" si="30"/>
        <v>0.10031477403108179</v>
      </c>
      <c r="BD8" s="180"/>
      <c r="BE8" s="547">
        <f t="shared" si="31"/>
        <v>1.8731180555555543E-4</v>
      </c>
      <c r="BF8" s="547">
        <f t="shared" si="32"/>
        <v>3.0906144200626949E-3</v>
      </c>
      <c r="BG8" s="547">
        <f t="shared" si="33"/>
        <v>3.5907315039300757E-4</v>
      </c>
      <c r="BH8" s="547">
        <f t="shared" si="34"/>
        <v>2.2734666246892223E-3</v>
      </c>
      <c r="BI8">
        <f t="shared" si="35"/>
        <v>6.96E-3</v>
      </c>
      <c r="BJ8" s="473">
        <f t="shared" si="52"/>
        <v>12.87046600070048</v>
      </c>
      <c r="BK8" s="180">
        <f t="shared" si="36"/>
        <v>1.0499999999999999E-3</v>
      </c>
      <c r="BL8" s="180">
        <f t="shared" si="37"/>
        <v>1.0499999999999999E-3</v>
      </c>
      <c r="BM8" s="547"/>
      <c r="BO8" s="473">
        <f t="shared" si="53"/>
        <v>2.1</v>
      </c>
      <c r="BP8" s="547">
        <f t="shared" si="38"/>
        <v>5.8869424603174569E-5</v>
      </c>
      <c r="BQ8" s="547">
        <f t="shared" si="54"/>
        <v>3.367855975996825E-4</v>
      </c>
      <c r="BR8" s="547">
        <f t="shared" si="39"/>
        <v>3.0189161666721001E-4</v>
      </c>
      <c r="BS8" s="547">
        <f t="shared" si="40"/>
        <v>1.0014915671389667E-5</v>
      </c>
      <c r="BT8" s="657">
        <f t="shared" si="41"/>
        <v>2.4158441558441552E-3</v>
      </c>
      <c r="BU8" s="473">
        <f t="shared" si="55"/>
        <v>3.1234057103856121</v>
      </c>
      <c r="BV8" s="180">
        <f t="shared" si="56"/>
        <v>1.809387171108609E-2</v>
      </c>
      <c r="BW8" s="5">
        <f t="shared" si="57"/>
        <v>6.3899999999999998E-2</v>
      </c>
      <c r="BX8" s="180">
        <f t="shared" si="58"/>
        <v>0.7793265358313396</v>
      </c>
      <c r="BY8" s="5">
        <f t="shared" si="59"/>
        <v>77.932653583133956</v>
      </c>
      <c r="BZ8">
        <f t="shared" si="60"/>
        <v>3</v>
      </c>
      <c r="CB8" s="582">
        <f t="shared" si="42"/>
        <v>-50</v>
      </c>
      <c r="CC8">
        <f t="shared" si="43"/>
        <v>-50</v>
      </c>
    </row>
    <row r="9" spans="2:81" x14ac:dyDescent="0.25">
      <c r="E9" s="177">
        <v>4</v>
      </c>
      <c r="F9" s="224">
        <f t="shared" si="61"/>
        <v>4.0000000000000001E-3</v>
      </c>
      <c r="G9" s="224">
        <f t="shared" si="44"/>
        <v>4.0000000000000001E-3</v>
      </c>
      <c r="H9" s="224">
        <f t="shared" si="0"/>
        <v>2.52E-2</v>
      </c>
      <c r="I9" s="224">
        <f t="shared" si="62"/>
        <v>0.06</v>
      </c>
      <c r="J9" s="560">
        <f t="shared" si="1"/>
        <v>24</v>
      </c>
      <c r="K9" s="455">
        <f t="shared" si="2"/>
        <v>13.1</v>
      </c>
      <c r="L9" s="455">
        <f t="shared" si="3"/>
        <v>37.1</v>
      </c>
      <c r="M9" s="455"/>
      <c r="N9" s="224">
        <f t="shared" si="4"/>
        <v>0.35309973045822102</v>
      </c>
      <c r="O9" s="179">
        <f t="shared" si="45"/>
        <v>1.6354982726547966</v>
      </c>
      <c r="P9" s="179">
        <f t="shared" si="5"/>
        <v>3.8940435063209446</v>
      </c>
      <c r="Q9" s="224">
        <f t="shared" si="6"/>
        <v>0.25960290042139628</v>
      </c>
      <c r="R9" s="224">
        <f t="shared" si="7"/>
        <v>0.10903321817698644</v>
      </c>
      <c r="S9" s="455">
        <f t="shared" si="8"/>
        <v>6.3</v>
      </c>
      <c r="T9" s="224">
        <f t="shared" si="9"/>
        <v>2.2341815097540286E-2</v>
      </c>
      <c r="U9" s="224">
        <f t="shared" si="10"/>
        <v>5.1199992931863149E-2</v>
      </c>
      <c r="V9" s="224">
        <f t="shared" si="11"/>
        <v>9.3801513768298914E-2</v>
      </c>
      <c r="W9" s="204">
        <f t="shared" si="12"/>
        <v>350</v>
      </c>
      <c r="X9" s="455">
        <f t="shared" si="46"/>
        <v>350</v>
      </c>
      <c r="Z9" s="224">
        <f t="shared" si="13"/>
        <v>0.44022823537648331</v>
      </c>
      <c r="AA9" s="180">
        <f t="shared" si="14"/>
        <v>1.8482864844050828</v>
      </c>
      <c r="AB9" s="180">
        <f t="shared" si="15"/>
        <v>8.4231817558083441E-2</v>
      </c>
      <c r="AC9" s="180"/>
      <c r="AD9" s="180">
        <f t="shared" si="16"/>
        <v>1.217557251908397</v>
      </c>
      <c r="AE9" s="564">
        <f t="shared" si="17"/>
        <v>38.301136041920813</v>
      </c>
      <c r="AF9" s="547">
        <f t="shared" si="18"/>
        <v>3.6552440597785188E-2</v>
      </c>
      <c r="AH9" s="180">
        <f t="shared" si="19"/>
        <v>9.4084791820719105E-2</v>
      </c>
      <c r="AI9" s="180">
        <f t="shared" si="20"/>
        <v>0.28999999999999998</v>
      </c>
      <c r="AJ9" s="180">
        <f t="shared" si="21"/>
        <v>1.0218863634525261</v>
      </c>
      <c r="AL9" s="564">
        <f t="shared" si="22"/>
        <v>4</v>
      </c>
      <c r="AM9" s="473">
        <f t="shared" si="23"/>
        <v>38.301136041920813</v>
      </c>
      <c r="AO9">
        <f t="shared" si="47"/>
        <v>4</v>
      </c>
      <c r="AP9" s="473">
        <f t="shared" si="24"/>
        <v>38.301136041920813</v>
      </c>
      <c r="AQ9" s="473"/>
      <c r="AR9" s="5">
        <f t="shared" si="48"/>
        <v>26.108886141275139</v>
      </c>
      <c r="AS9" s="5">
        <f t="shared" si="25"/>
        <v>0.6645833333333333</v>
      </c>
      <c r="AT9" s="5">
        <f t="shared" si="49"/>
        <v>25.444302807941806</v>
      </c>
      <c r="AU9" s="180">
        <f t="shared" si="50"/>
        <v>2.5454296661193206E-2</v>
      </c>
      <c r="AW9" s="5">
        <f t="shared" si="26"/>
        <v>4.2195767195767196E-2</v>
      </c>
      <c r="AX9" s="5">
        <f t="shared" si="27"/>
        <v>1.7722222222222223E-2</v>
      </c>
      <c r="AY9" s="5">
        <f t="shared" si="28"/>
        <v>2.4737516618832309E-2</v>
      </c>
      <c r="AZ9" s="5"/>
      <c r="BA9" s="180">
        <f t="shared" si="51"/>
        <v>2.6712708269076402E-2</v>
      </c>
      <c r="BB9" s="180">
        <f t="shared" si="29"/>
        <v>9.7775358670148124E-2</v>
      </c>
      <c r="BC9" s="180">
        <f t="shared" si="30"/>
        <v>9.9988852348082788E-2</v>
      </c>
      <c r="BD9" s="180"/>
      <c r="BE9" s="547">
        <f t="shared" si="31"/>
        <v>2.4974907407407398E-4</v>
      </c>
      <c r="BF9" s="547">
        <f t="shared" si="32"/>
        <v>4.1208192267502605E-3</v>
      </c>
      <c r="BG9" s="547">
        <f t="shared" si="33"/>
        <v>4.7876420052401017E-4</v>
      </c>
      <c r="BH9" s="547">
        <f t="shared" si="34"/>
        <v>3.0312888329189634E-3</v>
      </c>
      <c r="BI9">
        <f t="shared" si="35"/>
        <v>6.96E-3</v>
      </c>
      <c r="BJ9" s="473">
        <f t="shared" si="52"/>
        <v>14.840621334267306</v>
      </c>
      <c r="BK9" s="180">
        <f t="shared" si="36"/>
        <v>1.4E-3</v>
      </c>
      <c r="BL9" s="180">
        <f t="shared" si="37"/>
        <v>1.4E-3</v>
      </c>
      <c r="BM9" s="547"/>
      <c r="BO9" s="473">
        <f t="shared" si="53"/>
        <v>2.8</v>
      </c>
      <c r="BP9" s="547">
        <f t="shared" si="38"/>
        <v>7.8492566137566114E-5</v>
      </c>
      <c r="BQ9" s="547">
        <f t="shared" si="54"/>
        <v>3.3460072670766388E-4</v>
      </c>
      <c r="BR9" s="547">
        <f t="shared" si="39"/>
        <v>2.9993311781660104E-4</v>
      </c>
      <c r="BS9" s="547">
        <f t="shared" si="40"/>
        <v>2.0558628475691457E-5</v>
      </c>
      <c r="BT9" s="657">
        <f t="shared" si="41"/>
        <v>3.2211255411255407E-3</v>
      </c>
      <c r="BU9" s="473">
        <f t="shared" si="55"/>
        <v>3.9547105802630633</v>
      </c>
      <c r="BV9" s="180">
        <f t="shared" si="56"/>
        <v>2.159533191453037E-2</v>
      </c>
      <c r="BW9" s="5">
        <f t="shared" si="57"/>
        <v>8.5199999999999998E-2</v>
      </c>
      <c r="BX9" s="180">
        <f t="shared" si="58"/>
        <v>0.79778767922353222</v>
      </c>
      <c r="BY9" s="5">
        <f t="shared" si="59"/>
        <v>79.778767922353225</v>
      </c>
      <c r="BZ9">
        <f t="shared" si="60"/>
        <v>4</v>
      </c>
      <c r="CB9" s="582">
        <f t="shared" si="42"/>
        <v>-50</v>
      </c>
      <c r="CC9">
        <f t="shared" si="43"/>
        <v>-50</v>
      </c>
    </row>
    <row r="10" spans="2:81" x14ac:dyDescent="0.25">
      <c r="E10" s="177">
        <v>5</v>
      </c>
      <c r="F10" s="224">
        <f t="shared" si="61"/>
        <v>5.000000000000001E-3</v>
      </c>
      <c r="G10" s="224">
        <f t="shared" si="44"/>
        <v>5.000000000000001E-3</v>
      </c>
      <c r="H10" s="224">
        <f t="shared" si="0"/>
        <v>3.1500000000000007E-2</v>
      </c>
      <c r="I10" s="224">
        <f t="shared" si="62"/>
        <v>7.5000000000000011E-2</v>
      </c>
      <c r="J10" s="560">
        <f t="shared" si="1"/>
        <v>24</v>
      </c>
      <c r="K10" s="455">
        <f t="shared" si="2"/>
        <v>13.1</v>
      </c>
      <c r="L10" s="455">
        <f t="shared" si="3"/>
        <v>37.1</v>
      </c>
      <c r="M10" s="455"/>
      <c r="N10" s="224">
        <f t="shared" si="4"/>
        <v>0.35309973045822102</v>
      </c>
      <c r="O10" s="179">
        <f t="shared" si="45"/>
        <v>1.6354982726547966</v>
      </c>
      <c r="P10" s="179">
        <f t="shared" si="5"/>
        <v>3.8940435063209446</v>
      </c>
      <c r="Q10" s="224">
        <f t="shared" si="6"/>
        <v>0.25960290042139628</v>
      </c>
      <c r="R10" s="224">
        <f t="shared" si="7"/>
        <v>0.10903321817698644</v>
      </c>
      <c r="S10" s="455">
        <f t="shared" si="8"/>
        <v>6.3</v>
      </c>
      <c r="T10" s="224">
        <f t="shared" si="9"/>
        <v>2.7927268871925363E-2</v>
      </c>
      <c r="U10" s="224">
        <f t="shared" si="10"/>
        <v>6.3999991164828962E-2</v>
      </c>
      <c r="V10" s="224">
        <f t="shared" si="11"/>
        <v>0.11725189221037367</v>
      </c>
      <c r="W10" s="204">
        <f t="shared" si="12"/>
        <v>350</v>
      </c>
      <c r="X10" s="455">
        <f t="shared" si="46"/>
        <v>350</v>
      </c>
      <c r="Z10" s="224">
        <f t="shared" si="13"/>
        <v>0.44022823537648331</v>
      </c>
      <c r="AA10" s="180">
        <f t="shared" si="14"/>
        <v>1.8482864844050828</v>
      </c>
      <c r="AB10" s="180">
        <f t="shared" si="15"/>
        <v>8.4231817558083441E-2</v>
      </c>
      <c r="AC10" s="180"/>
      <c r="AD10" s="180">
        <f t="shared" si="16"/>
        <v>1.217557251908397</v>
      </c>
      <c r="AE10" s="564">
        <f t="shared" si="17"/>
        <v>47.876420052401031</v>
      </c>
      <c r="AF10" s="547">
        <f t="shared" si="18"/>
        <v>3.6552440597785188E-2</v>
      </c>
      <c r="AH10" s="180">
        <f t="shared" si="19"/>
        <v>0.10518999508002207</v>
      </c>
      <c r="AI10" s="180">
        <f t="shared" si="20"/>
        <v>0.28999999999999998</v>
      </c>
      <c r="AJ10" s="180">
        <f t="shared" si="21"/>
        <v>1.0273579543156577</v>
      </c>
      <c r="AL10" s="564">
        <f t="shared" si="22"/>
        <v>5.0000000000000009</v>
      </c>
      <c r="AM10" s="473">
        <f t="shared" si="23"/>
        <v>47.876420052401031</v>
      </c>
      <c r="AO10">
        <f t="shared" si="47"/>
        <v>5.0000000000000009</v>
      </c>
      <c r="AP10" s="473">
        <f t="shared" si="24"/>
        <v>47.876420052401031</v>
      </c>
      <c r="AQ10" s="473"/>
      <c r="AR10" s="5">
        <f t="shared" si="48"/>
        <v>20.887108913020107</v>
      </c>
      <c r="AS10" s="5">
        <f t="shared" si="25"/>
        <v>0.6645833333333333</v>
      </c>
      <c r="AT10" s="5">
        <f t="shared" si="49"/>
        <v>20.222525579686774</v>
      </c>
      <c r="AU10" s="180">
        <f t="shared" si="50"/>
        <v>3.1817870826491512E-2</v>
      </c>
      <c r="AW10" s="5">
        <f t="shared" si="26"/>
        <v>5.2744708994708997E-2</v>
      </c>
      <c r="AX10" s="5">
        <f t="shared" si="27"/>
        <v>2.2152777777777782E-2</v>
      </c>
      <c r="AY10" s="5">
        <f t="shared" si="28"/>
        <v>2.4575985947536013E-2</v>
      </c>
      <c r="AZ10" s="5"/>
      <c r="BA10" s="180">
        <f t="shared" si="51"/>
        <v>2.9865715776387792E-2</v>
      </c>
      <c r="BB10" s="180">
        <f t="shared" si="29"/>
        <v>9.7455609794649595E-2</v>
      </c>
      <c r="BC10" s="180">
        <f t="shared" si="30"/>
        <v>9.9661864817323156E-2</v>
      </c>
      <c r="BD10" s="180"/>
      <c r="BE10" s="547">
        <f t="shared" si="31"/>
        <v>3.1218634259259253E-4</v>
      </c>
      <c r="BF10" s="547">
        <f t="shared" si="32"/>
        <v>5.1510240334378269E-3</v>
      </c>
      <c r="BG10" s="547">
        <f t="shared" si="33"/>
        <v>5.9845525065501282E-4</v>
      </c>
      <c r="BH10" s="547">
        <f t="shared" si="34"/>
        <v>3.7891110411487051E-3</v>
      </c>
      <c r="BI10">
        <f t="shared" si="35"/>
        <v>6.96E-3</v>
      </c>
      <c r="BJ10" s="473">
        <f t="shared" si="52"/>
        <v>16.810776667834137</v>
      </c>
      <c r="BK10" s="180">
        <f t="shared" si="36"/>
        <v>1.7500000000000003E-3</v>
      </c>
      <c r="BL10" s="180">
        <f t="shared" si="37"/>
        <v>1.7500000000000003E-3</v>
      </c>
      <c r="BM10" s="547"/>
      <c r="BO10" s="473">
        <f t="shared" si="53"/>
        <v>3.5000000000000004</v>
      </c>
      <c r="BP10" s="547">
        <f t="shared" si="38"/>
        <v>9.8115707671957646E-5</v>
      </c>
      <c r="BQ10" s="547">
        <f t="shared" si="54"/>
        <v>3.3241585581564515E-4</v>
      </c>
      <c r="BR10" s="547">
        <f t="shared" si="39"/>
        <v>2.9797461896599185E-4</v>
      </c>
      <c r="BS10" s="547">
        <f t="shared" si="40"/>
        <v>3.5914445934225807E-5</v>
      </c>
      <c r="BT10" s="657">
        <f t="shared" si="41"/>
        <v>4.0264069264069266E-3</v>
      </c>
      <c r="BU10" s="473">
        <f t="shared" si="55"/>
        <v>4.7908275547947463</v>
      </c>
      <c r="BV10" s="180">
        <f t="shared" si="56"/>
        <v>2.5101604222628891E-2</v>
      </c>
      <c r="BW10" s="5">
        <f t="shared" si="57"/>
        <v>0.10650000000000001</v>
      </c>
      <c r="BX10" s="180">
        <f t="shared" si="58"/>
        <v>0.80926065171542438</v>
      </c>
      <c r="BY10" s="5">
        <f t="shared" si="59"/>
        <v>80.926065171542433</v>
      </c>
      <c r="BZ10">
        <f t="shared" si="60"/>
        <v>5.0000000000000009</v>
      </c>
      <c r="CB10" s="582">
        <f t="shared" si="42"/>
        <v>-50</v>
      </c>
      <c r="CC10">
        <f t="shared" si="43"/>
        <v>-50</v>
      </c>
    </row>
    <row r="11" spans="2:81" x14ac:dyDescent="0.25">
      <c r="E11" s="177">
        <v>6</v>
      </c>
      <c r="F11" s="224">
        <f t="shared" si="61"/>
        <v>6.0000000000000001E-3</v>
      </c>
      <c r="G11" s="224">
        <f t="shared" si="44"/>
        <v>6.0000000000000001E-3</v>
      </c>
      <c r="H11" s="224">
        <f t="shared" si="0"/>
        <v>3.78E-2</v>
      </c>
      <c r="I11" s="224">
        <f t="shared" si="62"/>
        <v>0.09</v>
      </c>
      <c r="J11" s="560">
        <f t="shared" si="1"/>
        <v>24</v>
      </c>
      <c r="K11" s="455">
        <f t="shared" si="2"/>
        <v>13.1</v>
      </c>
      <c r="L11" s="455">
        <f t="shared" si="3"/>
        <v>37.1</v>
      </c>
      <c r="M11" s="455"/>
      <c r="N11" s="224">
        <f t="shared" si="4"/>
        <v>0.35309973045822102</v>
      </c>
      <c r="O11" s="179">
        <f t="shared" si="45"/>
        <v>1.6354982726547966</v>
      </c>
      <c r="P11" s="179">
        <f t="shared" si="5"/>
        <v>3.8940435063209446</v>
      </c>
      <c r="Q11" s="224">
        <f t="shared" si="6"/>
        <v>0.25960290042139628</v>
      </c>
      <c r="R11" s="224">
        <f t="shared" si="7"/>
        <v>0.10903321817698644</v>
      </c>
      <c r="S11" s="455">
        <f t="shared" si="8"/>
        <v>6.3</v>
      </c>
      <c r="T11" s="224">
        <f t="shared" si="9"/>
        <v>3.3512722646310431E-2</v>
      </c>
      <c r="U11" s="224">
        <f t="shared" si="10"/>
        <v>7.6799989397794741E-2</v>
      </c>
      <c r="V11" s="224">
        <f t="shared" si="11"/>
        <v>0.14070227065244839</v>
      </c>
      <c r="W11" s="204">
        <f t="shared" si="12"/>
        <v>350</v>
      </c>
      <c r="X11" s="455">
        <f t="shared" si="46"/>
        <v>350</v>
      </c>
      <c r="Z11" s="224">
        <f t="shared" si="13"/>
        <v>0.44022823537648331</v>
      </c>
      <c r="AA11" s="180">
        <f t="shared" si="14"/>
        <v>1.8482864844050828</v>
      </c>
      <c r="AB11" s="180">
        <f t="shared" si="15"/>
        <v>8.4231817558083441E-2</v>
      </c>
      <c r="AC11" s="180"/>
      <c r="AD11" s="180">
        <f t="shared" si="16"/>
        <v>1.217557251908397</v>
      </c>
      <c r="AE11" s="564">
        <f t="shared" si="17"/>
        <v>57.451704062881213</v>
      </c>
      <c r="AF11" s="547">
        <f t="shared" si="18"/>
        <v>3.6552440597785188E-2</v>
      </c>
      <c r="AH11" s="180">
        <f t="shared" si="19"/>
        <v>0.11522986625837105</v>
      </c>
      <c r="AI11" s="180">
        <f t="shared" si="20"/>
        <v>0.28999999999999998</v>
      </c>
      <c r="AJ11" s="180">
        <f t="shared" si="21"/>
        <v>1.0328295451787892</v>
      </c>
      <c r="AL11" s="564">
        <f t="shared" si="22"/>
        <v>6</v>
      </c>
      <c r="AM11" s="473">
        <f t="shared" si="23"/>
        <v>57.451704062881213</v>
      </c>
      <c r="AO11">
        <f t="shared" si="47"/>
        <v>6</v>
      </c>
      <c r="AP11" s="473">
        <f t="shared" si="24"/>
        <v>57.451704062881213</v>
      </c>
      <c r="AQ11" s="473"/>
      <c r="AR11" s="5">
        <f t="shared" si="48"/>
        <v>17.40592409418343</v>
      </c>
      <c r="AS11" s="5">
        <f t="shared" si="25"/>
        <v>0.6645833333333333</v>
      </c>
      <c r="AT11" s="5">
        <f t="shared" si="49"/>
        <v>16.741340760850097</v>
      </c>
      <c r="AU11" s="180">
        <f t="shared" si="50"/>
        <v>3.8181444991789798E-2</v>
      </c>
      <c r="AW11" s="5">
        <f t="shared" si="26"/>
        <v>6.3293650793650791E-2</v>
      </c>
      <c r="AX11" s="5">
        <f t="shared" si="27"/>
        <v>2.658333333333333E-2</v>
      </c>
      <c r="AY11" s="5">
        <f t="shared" si="28"/>
        <v>2.441445527623972E-2</v>
      </c>
      <c r="AZ11" s="5"/>
      <c r="BA11" s="180">
        <f t="shared" si="51"/>
        <v>3.2716252453531013E-2</v>
      </c>
      <c r="BB11" s="180">
        <f t="shared" si="29"/>
        <v>9.7134808373815662E-2</v>
      </c>
      <c r="BC11" s="180">
        <f t="shared" si="30"/>
        <v>9.9333800913113612E-2</v>
      </c>
      <c r="BD11" s="180"/>
      <c r="BE11" s="547">
        <f t="shared" si="31"/>
        <v>3.7462361111111086E-4</v>
      </c>
      <c r="BF11" s="547">
        <f t="shared" si="32"/>
        <v>6.1812288401253898E-3</v>
      </c>
      <c r="BG11" s="547">
        <f t="shared" si="33"/>
        <v>7.1814630078601515E-4</v>
      </c>
      <c r="BH11" s="547">
        <f t="shared" si="34"/>
        <v>4.5469332493784445E-3</v>
      </c>
      <c r="BI11">
        <f t="shared" si="35"/>
        <v>6.96E-3</v>
      </c>
      <c r="BJ11" s="473">
        <f t="shared" si="52"/>
        <v>18.780932001400959</v>
      </c>
      <c r="BK11" s="180">
        <f t="shared" si="36"/>
        <v>2.0999999999999999E-3</v>
      </c>
      <c r="BL11" s="180">
        <f t="shared" si="37"/>
        <v>2.0999999999999999E-3</v>
      </c>
      <c r="BM11" s="547"/>
      <c r="BO11" s="473">
        <f t="shared" si="53"/>
        <v>4.2</v>
      </c>
      <c r="BP11" s="547">
        <f t="shared" si="38"/>
        <v>1.1773884920634914E-4</v>
      </c>
      <c r="BQ11" s="547">
        <f t="shared" si="54"/>
        <v>3.3023098492362615E-4</v>
      </c>
      <c r="BR11" s="547">
        <f t="shared" si="39"/>
        <v>2.9601612011538272E-4</v>
      </c>
      <c r="BS11" s="547">
        <f t="shared" si="40"/>
        <v>5.6652918274008447E-5</v>
      </c>
      <c r="BT11" s="657">
        <f t="shared" si="41"/>
        <v>4.8316883116883104E-3</v>
      </c>
      <c r="BU11" s="473">
        <f t="shared" si="55"/>
        <v>5.6323271842076768</v>
      </c>
      <c r="BV11" s="180">
        <f t="shared" si="56"/>
        <v>2.8613259185608642E-2</v>
      </c>
      <c r="BW11" s="5">
        <f t="shared" si="57"/>
        <v>0.1278</v>
      </c>
      <c r="BX11" s="180">
        <f t="shared" si="58"/>
        <v>0.81706628111588309</v>
      </c>
      <c r="BY11" s="5">
        <f t="shared" si="59"/>
        <v>81.706628111588316</v>
      </c>
      <c r="BZ11">
        <f t="shared" si="60"/>
        <v>6</v>
      </c>
      <c r="CB11" s="582">
        <f t="shared" si="42"/>
        <v>-50</v>
      </c>
      <c r="CC11">
        <f t="shared" si="43"/>
        <v>-50</v>
      </c>
    </row>
    <row r="12" spans="2:81" x14ac:dyDescent="0.25">
      <c r="E12" s="177">
        <v>7</v>
      </c>
      <c r="F12" s="224">
        <f t="shared" si="61"/>
        <v>7.000000000000001E-3</v>
      </c>
      <c r="G12" s="224">
        <f t="shared" si="44"/>
        <v>7.000000000000001E-3</v>
      </c>
      <c r="H12" s="224">
        <f t="shared" si="0"/>
        <v>4.4100000000000007E-2</v>
      </c>
      <c r="I12" s="224">
        <f t="shared" si="62"/>
        <v>0.10500000000000001</v>
      </c>
      <c r="J12" s="560">
        <f t="shared" si="1"/>
        <v>24</v>
      </c>
      <c r="K12" s="455">
        <f t="shared" si="2"/>
        <v>13.1</v>
      </c>
      <c r="L12" s="455">
        <f t="shared" si="3"/>
        <v>37.1</v>
      </c>
      <c r="M12" s="455"/>
      <c r="N12" s="224">
        <f t="shared" si="4"/>
        <v>0.35309973045822102</v>
      </c>
      <c r="O12" s="179">
        <f t="shared" si="45"/>
        <v>1.6354982726547966</v>
      </c>
      <c r="P12" s="179">
        <f t="shared" si="5"/>
        <v>3.8940435063209446</v>
      </c>
      <c r="Q12" s="224">
        <f t="shared" si="6"/>
        <v>0.25960290042139628</v>
      </c>
      <c r="R12" s="224">
        <f t="shared" si="7"/>
        <v>0.10903321817698644</v>
      </c>
      <c r="S12" s="455">
        <f t="shared" si="8"/>
        <v>6.3</v>
      </c>
      <c r="T12" s="224">
        <f t="shared" si="9"/>
        <v>3.9098176420695505E-2</v>
      </c>
      <c r="U12" s="224">
        <f t="shared" si="10"/>
        <v>8.9599987630760533E-2</v>
      </c>
      <c r="V12" s="224">
        <f t="shared" si="11"/>
        <v>0.16415264909452312</v>
      </c>
      <c r="W12" s="204">
        <f t="shared" si="12"/>
        <v>350</v>
      </c>
      <c r="X12" s="455">
        <f t="shared" si="46"/>
        <v>350</v>
      </c>
      <c r="Z12" s="224">
        <f t="shared" si="13"/>
        <v>0.44022823537648331</v>
      </c>
      <c r="AA12" s="180">
        <f t="shared" si="14"/>
        <v>1.8482864844050828</v>
      </c>
      <c r="AB12" s="180">
        <f t="shared" si="15"/>
        <v>8.4231817558083441E-2</v>
      </c>
      <c r="AC12" s="180"/>
      <c r="AD12" s="180">
        <f t="shared" si="16"/>
        <v>1.217557251908397</v>
      </c>
      <c r="AE12" s="564">
        <f t="shared" si="17"/>
        <v>67.026988073361437</v>
      </c>
      <c r="AF12" s="547">
        <f t="shared" si="18"/>
        <v>3.6552440597785188E-2</v>
      </c>
      <c r="AH12" s="180">
        <f t="shared" si="19"/>
        <v>0.12446248065545332</v>
      </c>
      <c r="AI12" s="180">
        <f t="shared" si="20"/>
        <v>0.28999999999999998</v>
      </c>
      <c r="AJ12" s="180">
        <f t="shared" si="21"/>
        <v>1.0383011360419208</v>
      </c>
      <c r="AL12" s="564">
        <f t="shared" si="22"/>
        <v>7.0000000000000009</v>
      </c>
      <c r="AM12" s="473">
        <f t="shared" si="23"/>
        <v>67.026988073361437</v>
      </c>
      <c r="AO12">
        <f t="shared" si="47"/>
        <v>7.0000000000000009</v>
      </c>
      <c r="AP12" s="473">
        <f t="shared" si="24"/>
        <v>67.026988073361437</v>
      </c>
      <c r="AQ12" s="473"/>
      <c r="AR12" s="5">
        <f t="shared" si="48"/>
        <v>14.919363509300076</v>
      </c>
      <c r="AS12" s="5">
        <f t="shared" si="25"/>
        <v>0.6645833333333333</v>
      </c>
      <c r="AT12" s="5">
        <f t="shared" si="49"/>
        <v>14.254780175966744</v>
      </c>
      <c r="AU12" s="180">
        <f t="shared" si="50"/>
        <v>4.4545019157088118E-2</v>
      </c>
      <c r="AW12" s="5">
        <f t="shared" si="26"/>
        <v>7.3842592592592599E-2</v>
      </c>
      <c r="AX12" s="5">
        <f t="shared" si="27"/>
        <v>3.1013888888888889E-2</v>
      </c>
      <c r="AY12" s="5">
        <f t="shared" si="28"/>
        <v>2.4252924604943417E-2</v>
      </c>
      <c r="AZ12" s="5"/>
      <c r="BA12" s="180">
        <f t="shared" si="51"/>
        <v>3.5337591462497417E-2</v>
      </c>
      <c r="BB12" s="180">
        <f t="shared" si="29"/>
        <v>9.6812943944437443E-2</v>
      </c>
      <c r="BC12" s="180">
        <f t="shared" si="30"/>
        <v>9.9004649935373182E-2</v>
      </c>
      <c r="BD12" s="180"/>
      <c r="BE12" s="547">
        <f t="shared" si="31"/>
        <v>4.3706087962962957E-4</v>
      </c>
      <c r="BF12" s="547">
        <f t="shared" si="32"/>
        <v>7.2114336468129571E-3</v>
      </c>
      <c r="BG12" s="547">
        <f t="shared" si="33"/>
        <v>8.378373509170179E-4</v>
      </c>
      <c r="BH12" s="547">
        <f t="shared" si="34"/>
        <v>5.304755457608187E-3</v>
      </c>
      <c r="BI12">
        <f t="shared" si="35"/>
        <v>6.96E-3</v>
      </c>
      <c r="BJ12" s="473">
        <f t="shared" si="52"/>
        <v>20.751087334967792</v>
      </c>
      <c r="BK12" s="180">
        <f t="shared" si="36"/>
        <v>2.4500000000000004E-3</v>
      </c>
      <c r="BL12" s="180">
        <f t="shared" si="37"/>
        <v>2.4500000000000004E-3</v>
      </c>
      <c r="BM12" s="547"/>
      <c r="BO12" s="473">
        <f t="shared" si="53"/>
        <v>4.9000000000000004</v>
      </c>
      <c r="BP12" s="547">
        <f t="shared" si="38"/>
        <v>1.3736199074074074E-4</v>
      </c>
      <c r="BQ12" s="547">
        <f t="shared" si="54"/>
        <v>3.2804611403160758E-4</v>
      </c>
      <c r="BR12" s="547">
        <f t="shared" si="39"/>
        <v>2.9405762126477364E-4</v>
      </c>
      <c r="BS12" s="547">
        <f t="shared" si="40"/>
        <v>8.3289309184977542E-5</v>
      </c>
      <c r="BT12" s="657">
        <f t="shared" si="41"/>
        <v>5.6369696969696976E-3</v>
      </c>
      <c r="BU12" s="473">
        <f t="shared" si="55"/>
        <v>6.479724732191797</v>
      </c>
      <c r="BV12" s="180">
        <f t="shared" si="56"/>
        <v>3.2130812067159592E-2</v>
      </c>
      <c r="BW12" s="5">
        <f t="shared" si="57"/>
        <v>0.14910000000000001</v>
      </c>
      <c r="BX12" s="180">
        <f t="shared" si="58"/>
        <v>0.82270778516816045</v>
      </c>
      <c r="BY12" s="5">
        <f t="shared" si="59"/>
        <v>82.270778516816051</v>
      </c>
      <c r="BZ12">
        <f t="shared" si="60"/>
        <v>7.0000000000000009</v>
      </c>
      <c r="CB12" s="582">
        <f t="shared" si="42"/>
        <v>-50</v>
      </c>
      <c r="CC12">
        <f t="shared" si="43"/>
        <v>-50</v>
      </c>
    </row>
    <row r="13" spans="2:81" s="77" customFormat="1" x14ac:dyDescent="0.25">
      <c r="E13" s="196">
        <v>8</v>
      </c>
      <c r="F13" s="224">
        <f t="shared" si="61"/>
        <v>8.0000000000000002E-3</v>
      </c>
      <c r="G13" s="224">
        <f t="shared" si="44"/>
        <v>8.0000000000000002E-3</v>
      </c>
      <c r="H13" s="224">
        <f t="shared" si="0"/>
        <v>5.04E-2</v>
      </c>
      <c r="I13" s="224">
        <f t="shared" si="62"/>
        <v>0.12</v>
      </c>
      <c r="J13" s="560">
        <f t="shared" si="1"/>
        <v>24</v>
      </c>
      <c r="K13" s="455">
        <f t="shared" si="2"/>
        <v>13.1</v>
      </c>
      <c r="L13" s="554">
        <f t="shared" si="3"/>
        <v>37.1</v>
      </c>
      <c r="M13" s="554"/>
      <c r="N13" s="336">
        <f t="shared" si="4"/>
        <v>0.35309973045822102</v>
      </c>
      <c r="O13" s="179">
        <f t="shared" si="45"/>
        <v>1.6354982726547966</v>
      </c>
      <c r="P13" s="179">
        <f t="shared" si="5"/>
        <v>3.8940435063209446</v>
      </c>
      <c r="Q13" s="336">
        <f t="shared" si="6"/>
        <v>0.25960290042139628</v>
      </c>
      <c r="R13" s="224">
        <f t="shared" si="7"/>
        <v>0.10903321817698644</v>
      </c>
      <c r="S13" s="455">
        <f t="shared" si="8"/>
        <v>6.3</v>
      </c>
      <c r="T13" s="224">
        <f t="shared" si="9"/>
        <v>4.4683630195080572E-2</v>
      </c>
      <c r="U13" s="336">
        <f t="shared" si="10"/>
        <v>0.1023999858637263</v>
      </c>
      <c r="V13" s="224">
        <f t="shared" si="11"/>
        <v>0.18760302753659783</v>
      </c>
      <c r="W13" s="556">
        <f t="shared" si="12"/>
        <v>350</v>
      </c>
      <c r="X13" s="554">
        <f t="shared" si="46"/>
        <v>350</v>
      </c>
      <c r="Z13" s="336">
        <f t="shared" si="13"/>
        <v>0.44022823537648331</v>
      </c>
      <c r="AA13" s="180">
        <f t="shared" si="14"/>
        <v>1.8482864844050828</v>
      </c>
      <c r="AB13" s="180">
        <f t="shared" si="15"/>
        <v>8.4231817558083441E-2</v>
      </c>
      <c r="AC13" s="557"/>
      <c r="AD13" s="180">
        <f t="shared" si="16"/>
        <v>1.217557251908397</v>
      </c>
      <c r="AE13" s="564">
        <f t="shared" si="17"/>
        <v>76.602272083841626</v>
      </c>
      <c r="AF13" s="547">
        <f t="shared" si="18"/>
        <v>3.6552440597785188E-2</v>
      </c>
      <c r="AG13"/>
      <c r="AH13" s="180">
        <f t="shared" si="19"/>
        <v>0.1330559886059102</v>
      </c>
      <c r="AI13" s="180">
        <f t="shared" si="20"/>
        <v>0.28999999999999998</v>
      </c>
      <c r="AJ13" s="180">
        <f t="shared" si="21"/>
        <v>1.0437727269050523</v>
      </c>
      <c r="AL13" s="564">
        <f t="shared" si="22"/>
        <v>8</v>
      </c>
      <c r="AM13" s="473">
        <f t="shared" si="23"/>
        <v>76.602272083841626</v>
      </c>
      <c r="AO13">
        <f t="shared" si="47"/>
        <v>8</v>
      </c>
      <c r="AP13" s="473">
        <f t="shared" si="24"/>
        <v>76.602272083841626</v>
      </c>
      <c r="AQ13" s="473"/>
      <c r="AR13" s="5">
        <f t="shared" si="48"/>
        <v>13.05444307063757</v>
      </c>
      <c r="AS13" s="5">
        <f t="shared" si="25"/>
        <v>0.6645833333333333</v>
      </c>
      <c r="AT13" s="5">
        <f t="shared" si="49"/>
        <v>12.389859737304237</v>
      </c>
      <c r="AU13" s="180">
        <f t="shared" si="50"/>
        <v>5.0908593322386411E-2</v>
      </c>
      <c r="AW13" s="5">
        <f t="shared" si="26"/>
        <v>8.4391534391534392E-2</v>
      </c>
      <c r="AX13" s="5">
        <f t="shared" si="27"/>
        <v>3.5444444444444445E-2</v>
      </c>
      <c r="AY13" s="5">
        <f t="shared" si="28"/>
        <v>2.4091393933647124E-2</v>
      </c>
      <c r="AZ13" s="5"/>
      <c r="BA13" s="180">
        <f t="shared" si="51"/>
        <v>3.7777474321843772E-2</v>
      </c>
      <c r="BB13" s="180">
        <f t="shared" si="29"/>
        <v>9.6490005868792847E-2</v>
      </c>
      <c r="BC13" s="180">
        <f t="shared" si="30"/>
        <v>9.8674401005557077E-2</v>
      </c>
      <c r="BD13" s="180"/>
      <c r="BE13" s="547">
        <f t="shared" si="31"/>
        <v>4.9949814814814796E-4</v>
      </c>
      <c r="BF13" s="547">
        <f t="shared" si="32"/>
        <v>8.2416384535005209E-3</v>
      </c>
      <c r="BG13" s="547">
        <f t="shared" si="33"/>
        <v>9.5752840104802034E-4</v>
      </c>
      <c r="BH13" s="547">
        <f t="shared" si="34"/>
        <v>6.0625776658379269E-3</v>
      </c>
      <c r="BI13">
        <f t="shared" si="35"/>
        <v>6.96E-3</v>
      </c>
      <c r="BJ13" s="473">
        <f t="shared" si="52"/>
        <v>22.721242668534614</v>
      </c>
      <c r="BK13" s="180">
        <f t="shared" si="36"/>
        <v>2.8E-3</v>
      </c>
      <c r="BL13" s="180">
        <f t="shared" si="37"/>
        <v>2.8E-3</v>
      </c>
      <c r="BM13" s="547"/>
      <c r="BO13" s="473">
        <f t="shared" si="53"/>
        <v>5.6</v>
      </c>
      <c r="BP13" s="547">
        <f t="shared" si="38"/>
        <v>1.5698513227513223E-4</v>
      </c>
      <c r="BQ13" s="547">
        <f t="shared" si="54"/>
        <v>3.2586124313958875E-4</v>
      </c>
      <c r="BR13" s="547">
        <f t="shared" si="39"/>
        <v>2.9209912241416451E-4</v>
      </c>
      <c r="BS13" s="547">
        <f t="shared" si="40"/>
        <v>1.1629716485645039E-4</v>
      </c>
      <c r="BT13" s="657">
        <f t="shared" si="41"/>
        <v>6.4422510822510813E-3</v>
      </c>
      <c r="BU13" s="473">
        <f t="shared" si="55"/>
        <v>7.3334937449364173</v>
      </c>
      <c r="BV13" s="180">
        <f t="shared" si="56"/>
        <v>3.5654736413471035E-2</v>
      </c>
      <c r="BW13" s="5">
        <f t="shared" si="57"/>
        <v>0.1704</v>
      </c>
      <c r="BX13" s="180">
        <f t="shared" si="58"/>
        <v>0.82696473260422432</v>
      </c>
      <c r="BY13" s="5">
        <f t="shared" si="59"/>
        <v>82.696473260422437</v>
      </c>
      <c r="BZ13">
        <f t="shared" si="60"/>
        <v>8</v>
      </c>
      <c r="CB13" s="582">
        <f t="shared" si="42"/>
        <v>-50</v>
      </c>
      <c r="CC13">
        <f t="shared" si="43"/>
        <v>-50</v>
      </c>
    </row>
    <row r="14" spans="2:81" x14ac:dyDescent="0.25">
      <c r="E14" s="177">
        <v>9</v>
      </c>
      <c r="F14" s="224">
        <f t="shared" si="61"/>
        <v>8.9999999999999993E-3</v>
      </c>
      <c r="G14" s="224">
        <f t="shared" si="44"/>
        <v>8.9999999999999993E-3</v>
      </c>
      <c r="H14" s="224">
        <f t="shared" si="0"/>
        <v>5.6699999999999993E-2</v>
      </c>
      <c r="I14" s="224">
        <f t="shared" si="62"/>
        <v>0.13499999999999998</v>
      </c>
      <c r="J14" s="560">
        <f t="shared" si="1"/>
        <v>24</v>
      </c>
      <c r="K14" s="455">
        <f t="shared" si="2"/>
        <v>13.1</v>
      </c>
      <c r="L14" s="455">
        <f t="shared" si="3"/>
        <v>37.1</v>
      </c>
      <c r="M14" s="455"/>
      <c r="N14" s="224">
        <f t="shared" si="4"/>
        <v>0.35309973045822102</v>
      </c>
      <c r="O14" s="179">
        <f t="shared" si="45"/>
        <v>1.6354982726547966</v>
      </c>
      <c r="P14" s="179">
        <f t="shared" si="5"/>
        <v>3.8940435063209446</v>
      </c>
      <c r="Q14" s="224">
        <f t="shared" si="6"/>
        <v>0.25960290042139628</v>
      </c>
      <c r="R14" s="224">
        <f t="shared" si="7"/>
        <v>0.10903321817698644</v>
      </c>
      <c r="S14" s="455">
        <f t="shared" si="8"/>
        <v>6.3</v>
      </c>
      <c r="T14" s="224">
        <f t="shared" si="9"/>
        <v>5.0269083969465639E-2</v>
      </c>
      <c r="U14" s="224">
        <f t="shared" si="10"/>
        <v>0.1151999840966921</v>
      </c>
      <c r="V14" s="224">
        <f t="shared" si="11"/>
        <v>0.21105340597867256</v>
      </c>
      <c r="W14" s="204">
        <f t="shared" si="12"/>
        <v>350</v>
      </c>
      <c r="X14" s="455">
        <f t="shared" si="46"/>
        <v>350</v>
      </c>
      <c r="Z14" s="224">
        <f t="shared" si="13"/>
        <v>0.44022823537648331</v>
      </c>
      <c r="AA14" s="180">
        <f t="shared" si="14"/>
        <v>1.8482864844050828</v>
      </c>
      <c r="AB14" s="180">
        <f t="shared" si="15"/>
        <v>8.4231817558083441E-2</v>
      </c>
      <c r="AC14" s="180"/>
      <c r="AD14" s="180">
        <f t="shared" si="16"/>
        <v>1.217557251908397</v>
      </c>
      <c r="AE14" s="564">
        <f t="shared" si="17"/>
        <v>86.17755609432183</v>
      </c>
      <c r="AF14" s="547">
        <f t="shared" si="18"/>
        <v>3.6552440597785188E-2</v>
      </c>
      <c r="AH14" s="180">
        <f t="shared" si="19"/>
        <v>0.14112718773107863</v>
      </c>
      <c r="AI14" s="180">
        <f t="shared" si="20"/>
        <v>0.28999999999999998</v>
      </c>
      <c r="AJ14" s="180">
        <f t="shared" si="21"/>
        <v>1.0492443177681838</v>
      </c>
      <c r="AL14" s="564">
        <f t="shared" si="22"/>
        <v>9</v>
      </c>
      <c r="AM14" s="473">
        <f t="shared" si="23"/>
        <v>86.17755609432183</v>
      </c>
      <c r="AO14">
        <f t="shared" si="47"/>
        <v>9</v>
      </c>
      <c r="AP14" s="473">
        <f t="shared" si="24"/>
        <v>86.17755609432183</v>
      </c>
      <c r="AQ14" s="473"/>
      <c r="AR14" s="5">
        <f t="shared" si="48"/>
        <v>11.603949396122283</v>
      </c>
      <c r="AS14" s="5">
        <f t="shared" si="25"/>
        <v>0.6645833333333333</v>
      </c>
      <c r="AT14" s="5">
        <f t="shared" si="49"/>
        <v>10.939366062788951</v>
      </c>
      <c r="AU14" s="180">
        <f t="shared" si="50"/>
        <v>5.7272167487684711E-2</v>
      </c>
      <c r="AW14" s="5">
        <f t="shared" si="26"/>
        <v>9.4940476190476186E-2</v>
      </c>
      <c r="AX14" s="5">
        <f t="shared" si="27"/>
        <v>3.9875000000000001E-2</v>
      </c>
      <c r="AY14" s="5">
        <f t="shared" si="28"/>
        <v>2.3929863262350821E-2</v>
      </c>
      <c r="AZ14" s="5"/>
      <c r="BA14" s="180">
        <f t="shared" si="51"/>
        <v>4.0069062403614596E-2</v>
      </c>
      <c r="BB14" s="180">
        <f t="shared" si="29"/>
        <v>9.6165983330544533E-2</v>
      </c>
      <c r="BC14" s="180">
        <f t="shared" si="30"/>
        <v>9.8343043062461624E-2</v>
      </c>
      <c r="BD14" s="180"/>
      <c r="BE14" s="547">
        <f t="shared" si="31"/>
        <v>5.6193541666666618E-4</v>
      </c>
      <c r="BF14" s="547">
        <f t="shared" si="32"/>
        <v>9.2718432601880865E-3</v>
      </c>
      <c r="BG14" s="547">
        <f t="shared" si="33"/>
        <v>1.0772194511790227E-3</v>
      </c>
      <c r="BH14" s="547">
        <f t="shared" si="34"/>
        <v>6.8203998740676668E-3</v>
      </c>
      <c r="BI14">
        <f t="shared" si="35"/>
        <v>6.96E-3</v>
      </c>
      <c r="BJ14" s="473">
        <f t="shared" si="52"/>
        <v>24.69139800210144</v>
      </c>
      <c r="BK14" s="180">
        <f t="shared" si="36"/>
        <v>3.1499999999999996E-3</v>
      </c>
      <c r="BL14" s="180">
        <f t="shared" si="37"/>
        <v>3.1499999999999996E-3</v>
      </c>
      <c r="BM14" s="547"/>
      <c r="BO14" s="473">
        <f t="shared" si="53"/>
        <v>6.2999999999999989</v>
      </c>
      <c r="BP14" s="547">
        <f t="shared" si="38"/>
        <v>1.7660827380952367E-4</v>
      </c>
      <c r="BQ14" s="547">
        <f t="shared" si="54"/>
        <v>3.2367637224756996E-4</v>
      </c>
      <c r="BR14" s="547">
        <f t="shared" si="39"/>
        <v>2.9014062356355543E-4</v>
      </c>
      <c r="BS14" s="547">
        <f t="shared" si="40"/>
        <v>1.5611708498728229E-4</v>
      </c>
      <c r="BT14" s="657">
        <f t="shared" si="41"/>
        <v>7.2475324675324668E-3</v>
      </c>
      <c r="BU14" s="473">
        <f t="shared" si="55"/>
        <v>8.194074822140399</v>
      </c>
      <c r="BV14" s="180">
        <f t="shared" si="56"/>
        <v>3.918547282424184E-2</v>
      </c>
      <c r="BW14" s="5">
        <f t="shared" si="57"/>
        <v>0.19169999999999998</v>
      </c>
      <c r="BX14" s="180">
        <f t="shared" si="58"/>
        <v>0.8302817741414541</v>
      </c>
      <c r="BY14" s="5">
        <f t="shared" si="59"/>
        <v>83.028177414145404</v>
      </c>
      <c r="BZ14">
        <f t="shared" si="60"/>
        <v>8.9999999999999982</v>
      </c>
      <c r="CB14" s="582">
        <f t="shared" si="42"/>
        <v>-50</v>
      </c>
      <c r="CC14">
        <f t="shared" si="43"/>
        <v>-50</v>
      </c>
    </row>
    <row r="15" spans="2:81" x14ac:dyDescent="0.25">
      <c r="E15" s="177">
        <v>10</v>
      </c>
      <c r="F15" s="224">
        <f t="shared" si="61"/>
        <v>1.0000000000000002E-2</v>
      </c>
      <c r="G15" s="224">
        <f t="shared" si="44"/>
        <v>1.0000000000000002E-2</v>
      </c>
      <c r="H15" s="224">
        <f t="shared" si="0"/>
        <v>6.3000000000000014E-2</v>
      </c>
      <c r="I15" s="224">
        <f t="shared" si="62"/>
        <v>0.15000000000000002</v>
      </c>
      <c r="J15" s="560">
        <f t="shared" si="1"/>
        <v>24</v>
      </c>
      <c r="K15" s="455">
        <f t="shared" si="2"/>
        <v>13.1</v>
      </c>
      <c r="L15" s="455">
        <f t="shared" si="3"/>
        <v>37.1</v>
      </c>
      <c r="M15" s="455"/>
      <c r="N15" s="224">
        <f t="shared" si="4"/>
        <v>0.35309973045822102</v>
      </c>
      <c r="O15" s="179">
        <f t="shared" si="45"/>
        <v>1.6354982726547966</v>
      </c>
      <c r="P15" s="179">
        <f t="shared" si="5"/>
        <v>3.8940435063209446</v>
      </c>
      <c r="Q15" s="224">
        <f t="shared" si="6"/>
        <v>0.25960290042139628</v>
      </c>
      <c r="R15" s="224">
        <f t="shared" si="7"/>
        <v>0.10903321817698644</v>
      </c>
      <c r="S15" s="455">
        <f t="shared" si="8"/>
        <v>6.3</v>
      </c>
      <c r="T15" s="224">
        <f t="shared" si="9"/>
        <v>5.5854537743850727E-2</v>
      </c>
      <c r="U15" s="224">
        <f t="shared" si="10"/>
        <v>0.12799998232965792</v>
      </c>
      <c r="V15" s="224">
        <f t="shared" si="11"/>
        <v>0.23450378442074735</v>
      </c>
      <c r="W15" s="204">
        <f t="shared" si="12"/>
        <v>350</v>
      </c>
      <c r="X15" s="455">
        <f t="shared" si="46"/>
        <v>350</v>
      </c>
      <c r="Z15" s="224">
        <f t="shared" si="13"/>
        <v>0.44022823537648331</v>
      </c>
      <c r="AA15" s="180">
        <f t="shared" si="14"/>
        <v>1.8482864844050828</v>
      </c>
      <c r="AB15" s="180">
        <f t="shared" si="15"/>
        <v>8.4231817558083441E-2</v>
      </c>
      <c r="AC15" s="180"/>
      <c r="AD15" s="180">
        <f t="shared" si="16"/>
        <v>1.217557251908397</v>
      </c>
      <c r="AE15" s="564">
        <f t="shared" si="17"/>
        <v>95.752840104802061</v>
      </c>
      <c r="AF15" s="547">
        <f t="shared" si="18"/>
        <v>3.6552440597785188E-2</v>
      </c>
      <c r="AH15" s="180">
        <f t="shared" si="19"/>
        <v>0.14876111766812633</v>
      </c>
      <c r="AI15" s="180">
        <f t="shared" si="20"/>
        <v>0.28999999999999998</v>
      </c>
      <c r="AJ15" s="180">
        <f t="shared" si="21"/>
        <v>1.0547159086313154</v>
      </c>
      <c r="AL15" s="564">
        <f t="shared" si="22"/>
        <v>10.000000000000002</v>
      </c>
      <c r="AM15" s="473">
        <f t="shared" si="23"/>
        <v>95.752840104802061</v>
      </c>
      <c r="AO15">
        <f t="shared" si="47"/>
        <v>10.000000000000002</v>
      </c>
      <c r="AP15" s="473">
        <f t="shared" si="24"/>
        <v>95.752840104802061</v>
      </c>
      <c r="AQ15" s="473"/>
      <c r="AR15" s="5">
        <f t="shared" si="48"/>
        <v>10.443554456510054</v>
      </c>
      <c r="AS15" s="5">
        <f t="shared" si="25"/>
        <v>0.6645833333333333</v>
      </c>
      <c r="AT15" s="5">
        <f t="shared" si="49"/>
        <v>9.7789711231767207</v>
      </c>
      <c r="AU15" s="180">
        <f t="shared" si="50"/>
        <v>6.3635741652983024E-2</v>
      </c>
      <c r="AW15" s="5">
        <f t="shared" si="26"/>
        <v>0.10548941798941799</v>
      </c>
      <c r="AX15" s="5">
        <f t="shared" si="27"/>
        <v>4.4305555555555563E-2</v>
      </c>
      <c r="AY15" s="5">
        <f t="shared" si="28"/>
        <v>2.3768332591054535E-2</v>
      </c>
      <c r="AZ15" s="5"/>
      <c r="BA15" s="180">
        <f t="shared" si="51"/>
        <v>4.2236500300947728E-2</v>
      </c>
      <c r="BB15" s="180">
        <f t="shared" si="29"/>
        <v>9.5840865330512628E-2</v>
      </c>
      <c r="BC15" s="180">
        <f t="shared" si="30"/>
        <v>9.8010564857901286E-2</v>
      </c>
      <c r="BD15" s="180"/>
      <c r="BE15" s="547">
        <f t="shared" si="31"/>
        <v>6.2437268518518506E-4</v>
      </c>
      <c r="BF15" s="547">
        <f t="shared" si="32"/>
        <v>1.0302048066875654E-2</v>
      </c>
      <c r="BG15" s="547">
        <f t="shared" si="33"/>
        <v>1.1969105013100256E-3</v>
      </c>
      <c r="BH15" s="547">
        <f t="shared" si="34"/>
        <v>7.5782220822974101E-3</v>
      </c>
      <c r="BI15">
        <f t="shared" si="35"/>
        <v>6.96E-3</v>
      </c>
      <c r="BJ15" s="473">
        <f t="shared" si="52"/>
        <v>26.661553335668277</v>
      </c>
      <c r="BK15" s="180">
        <f t="shared" si="36"/>
        <v>3.5000000000000005E-3</v>
      </c>
      <c r="BL15" s="180">
        <f t="shared" si="37"/>
        <v>3.5000000000000005E-3</v>
      </c>
      <c r="BM15" s="547"/>
      <c r="BO15" s="473">
        <f t="shared" si="53"/>
        <v>7.0000000000000009</v>
      </c>
      <c r="BP15" s="547">
        <f t="shared" si="38"/>
        <v>1.9623141534391532E-4</v>
      </c>
      <c r="BQ15" s="547">
        <f t="shared" si="54"/>
        <v>3.2149150135555102E-4</v>
      </c>
      <c r="BR15" s="547">
        <f t="shared" si="39"/>
        <v>2.8818212471294624E-4</v>
      </c>
      <c r="BS15" s="547">
        <f t="shared" si="40"/>
        <v>2.0316278610118984E-4</v>
      </c>
      <c r="BT15" s="657">
        <f t="shared" si="41"/>
        <v>8.0528138528138532E-3</v>
      </c>
      <c r="BU15" s="473">
        <f t="shared" si="55"/>
        <v>9.0618816803274544</v>
      </c>
      <c r="BV15" s="180">
        <f t="shared" si="56"/>
        <v>4.2723435015995737E-2</v>
      </c>
      <c r="BW15" s="5">
        <f t="shared" si="57"/>
        <v>0.21300000000000002</v>
      </c>
      <c r="BX15" s="180">
        <f t="shared" si="58"/>
        <v>0.8329310920865608</v>
      </c>
      <c r="BY15" s="5">
        <f t="shared" si="59"/>
        <v>83.293109208656077</v>
      </c>
      <c r="BZ15">
        <f t="shared" si="60"/>
        <v>10.000000000000002</v>
      </c>
      <c r="CB15" s="582">
        <f t="shared" si="42"/>
        <v>-50</v>
      </c>
      <c r="CC15">
        <f t="shared" si="43"/>
        <v>-50</v>
      </c>
    </row>
    <row r="16" spans="2:81" x14ac:dyDescent="0.25">
      <c r="E16" s="177">
        <v>11</v>
      </c>
      <c r="F16" s="224">
        <f t="shared" si="61"/>
        <v>1.1000000000000001E-2</v>
      </c>
      <c r="G16" s="224">
        <f t="shared" si="44"/>
        <v>1.1000000000000001E-2</v>
      </c>
      <c r="H16" s="224">
        <f t="shared" si="0"/>
        <v>6.93E-2</v>
      </c>
      <c r="I16" s="224">
        <f t="shared" si="62"/>
        <v>0.16500000000000001</v>
      </c>
      <c r="J16" s="560">
        <f t="shared" si="1"/>
        <v>24</v>
      </c>
      <c r="K16" s="455">
        <f t="shared" si="2"/>
        <v>13.1</v>
      </c>
      <c r="L16" s="455">
        <f t="shared" si="3"/>
        <v>37.1</v>
      </c>
      <c r="M16" s="455"/>
      <c r="N16" s="224">
        <f t="shared" si="4"/>
        <v>0.35309973045822102</v>
      </c>
      <c r="O16" s="179">
        <f t="shared" si="45"/>
        <v>1.6354982726547966</v>
      </c>
      <c r="P16" s="179">
        <f t="shared" si="5"/>
        <v>3.8940435063209446</v>
      </c>
      <c r="Q16" s="224">
        <f t="shared" si="6"/>
        <v>0.25960290042139628</v>
      </c>
      <c r="R16" s="224">
        <f t="shared" si="7"/>
        <v>0.10903321817698644</v>
      </c>
      <c r="S16" s="455">
        <f t="shared" si="8"/>
        <v>6.3</v>
      </c>
      <c r="T16" s="224">
        <f t="shared" si="9"/>
        <v>6.1439991518235794E-2</v>
      </c>
      <c r="U16" s="224">
        <f t="shared" si="10"/>
        <v>0.14079998056262369</v>
      </c>
      <c r="V16" s="224">
        <f t="shared" si="11"/>
        <v>0.25795416286282202</v>
      </c>
      <c r="W16" s="204">
        <f t="shared" si="12"/>
        <v>350</v>
      </c>
      <c r="X16" s="455">
        <f t="shared" si="46"/>
        <v>350</v>
      </c>
      <c r="Z16" s="224">
        <f t="shared" si="13"/>
        <v>0.44022823537648331</v>
      </c>
      <c r="AA16" s="180">
        <f t="shared" si="14"/>
        <v>1.8482864844050828</v>
      </c>
      <c r="AB16" s="180">
        <f t="shared" si="15"/>
        <v>8.4231817558083441E-2</v>
      </c>
      <c r="AC16" s="180"/>
      <c r="AD16" s="180">
        <f t="shared" si="16"/>
        <v>1.217557251908397</v>
      </c>
      <c r="AE16" s="564">
        <f t="shared" si="17"/>
        <v>105.32812411528224</v>
      </c>
      <c r="AF16" s="547">
        <f t="shared" si="18"/>
        <v>3.6552440597785188E-2</v>
      </c>
      <c r="AH16" s="180">
        <f t="shared" si="19"/>
        <v>0.15602197647401198</v>
      </c>
      <c r="AI16" s="180">
        <f t="shared" si="20"/>
        <v>0.28999999999999998</v>
      </c>
      <c r="AJ16" s="180">
        <f t="shared" si="21"/>
        <v>1.0601874994944469</v>
      </c>
      <c r="AL16" s="564">
        <f t="shared" si="22"/>
        <v>11.000000000000002</v>
      </c>
      <c r="AM16" s="473">
        <f t="shared" si="23"/>
        <v>105.32812411528224</v>
      </c>
      <c r="AO16">
        <f t="shared" si="47"/>
        <v>11.000000000000002</v>
      </c>
      <c r="AP16" s="473">
        <f t="shared" si="24"/>
        <v>105.32812411528224</v>
      </c>
      <c r="AQ16" s="473"/>
      <c r="AR16" s="5">
        <f t="shared" si="48"/>
        <v>9.4941404150091415</v>
      </c>
      <c r="AS16" s="5">
        <f t="shared" si="25"/>
        <v>0.6645833333333333</v>
      </c>
      <c r="AT16" s="5">
        <f t="shared" si="49"/>
        <v>8.8295570816758087</v>
      </c>
      <c r="AU16" s="180">
        <f t="shared" si="50"/>
        <v>6.999931581828131E-2</v>
      </c>
      <c r="AW16" s="5">
        <f t="shared" si="26"/>
        <v>0.11603835978835979</v>
      </c>
      <c r="AX16" s="5">
        <f t="shared" si="27"/>
        <v>4.8736111111111119E-2</v>
      </c>
      <c r="AY16" s="5">
        <f t="shared" si="28"/>
        <v>2.3606801919758235E-2</v>
      </c>
      <c r="AZ16" s="5"/>
      <c r="BA16" s="180">
        <f t="shared" si="51"/>
        <v>4.4298015231375241E-2</v>
      </c>
      <c r="BB16" s="180">
        <f t="shared" si="29"/>
        <v>9.5514640682318172E-2</v>
      </c>
      <c r="BC16" s="180">
        <f t="shared" si="30"/>
        <v>9.7676954952253578E-2</v>
      </c>
      <c r="BD16" s="180"/>
      <c r="BE16" s="547">
        <f t="shared" si="31"/>
        <v>6.868099537037035E-4</v>
      </c>
      <c r="BF16" s="547">
        <f t="shared" si="32"/>
        <v>1.1332252873563218E-2</v>
      </c>
      <c r="BG16" s="547">
        <f t="shared" si="33"/>
        <v>1.316601551441028E-3</v>
      </c>
      <c r="BH16" s="547">
        <f t="shared" si="34"/>
        <v>8.3360442905271483E-3</v>
      </c>
      <c r="BI16">
        <f t="shared" si="35"/>
        <v>6.96E-3</v>
      </c>
      <c r="BJ16" s="473">
        <f t="shared" si="52"/>
        <v>28.631708669235095</v>
      </c>
      <c r="BK16" s="180">
        <f t="shared" si="36"/>
        <v>3.8500000000000001E-3</v>
      </c>
      <c r="BL16" s="180">
        <f t="shared" si="37"/>
        <v>3.8500000000000001E-3</v>
      </c>
      <c r="BM16" s="547"/>
      <c r="BO16" s="473">
        <f t="shared" si="53"/>
        <v>7.7</v>
      </c>
      <c r="BP16" s="547">
        <f t="shared" si="38"/>
        <v>2.1585455687830684E-4</v>
      </c>
      <c r="BQ16" s="547">
        <f t="shared" si="54"/>
        <v>3.1930663046353229E-4</v>
      </c>
      <c r="BR16" s="547">
        <f t="shared" si="39"/>
        <v>2.8622362586233722E-4</v>
      </c>
      <c r="BS16" s="547">
        <f t="shared" si="40"/>
        <v>2.578255024950112E-4</v>
      </c>
      <c r="BT16" s="657">
        <f t="shared" si="41"/>
        <v>8.8580952380952361E-3</v>
      </c>
      <c r="BU16" s="473">
        <f t="shared" si="55"/>
        <v>9.9373055537944239</v>
      </c>
      <c r="BV16" s="180">
        <f t="shared" si="56"/>
        <v>4.6269014223029523E-2</v>
      </c>
      <c r="BW16" s="5">
        <f t="shared" si="57"/>
        <v>0.23430000000000001</v>
      </c>
      <c r="BX16" s="180">
        <f t="shared" si="58"/>
        <v>0.83508865242599661</v>
      </c>
      <c r="BY16" s="5">
        <f t="shared" si="59"/>
        <v>83.508865242599654</v>
      </c>
      <c r="BZ16">
        <f t="shared" si="60"/>
        <v>11</v>
      </c>
      <c r="CB16" s="582">
        <f t="shared" si="42"/>
        <v>-50</v>
      </c>
      <c r="CC16">
        <f t="shared" si="43"/>
        <v>-50</v>
      </c>
    </row>
    <row r="17" spans="5:81" x14ac:dyDescent="0.25">
      <c r="E17" s="177">
        <v>12</v>
      </c>
      <c r="F17" s="224">
        <f t="shared" si="61"/>
        <v>1.2E-2</v>
      </c>
      <c r="G17" s="224">
        <f t="shared" si="44"/>
        <v>1.2E-2</v>
      </c>
      <c r="H17" s="224">
        <f t="shared" si="0"/>
        <v>7.5600000000000001E-2</v>
      </c>
      <c r="I17" s="224">
        <f t="shared" si="62"/>
        <v>0.18</v>
      </c>
      <c r="J17" s="560">
        <f t="shared" si="1"/>
        <v>24</v>
      </c>
      <c r="K17" s="455">
        <f t="shared" si="2"/>
        <v>13.1</v>
      </c>
      <c r="L17" s="455">
        <f t="shared" si="3"/>
        <v>37.1</v>
      </c>
      <c r="M17" s="455"/>
      <c r="N17" s="224">
        <f t="shared" si="4"/>
        <v>0.35309973045822102</v>
      </c>
      <c r="O17" s="179">
        <f t="shared" si="45"/>
        <v>1.6354982726547966</v>
      </c>
      <c r="P17" s="179">
        <f t="shared" si="5"/>
        <v>3.8940435063209446</v>
      </c>
      <c r="Q17" s="224">
        <f t="shared" si="6"/>
        <v>0.25960290042139628</v>
      </c>
      <c r="R17" s="224">
        <f t="shared" si="7"/>
        <v>0.10903321817698644</v>
      </c>
      <c r="S17" s="455">
        <f t="shared" si="8"/>
        <v>6.3</v>
      </c>
      <c r="T17" s="224">
        <f t="shared" si="9"/>
        <v>6.7025445292620861E-2</v>
      </c>
      <c r="U17" s="224">
        <f t="shared" si="10"/>
        <v>0.15359997879558948</v>
      </c>
      <c r="V17" s="224">
        <f t="shared" si="11"/>
        <v>0.28140454130489678</v>
      </c>
      <c r="W17" s="204">
        <f t="shared" si="12"/>
        <v>350</v>
      </c>
      <c r="X17" s="455">
        <f t="shared" si="46"/>
        <v>350</v>
      </c>
      <c r="Z17" s="224">
        <f t="shared" si="13"/>
        <v>0.44022823537648331</v>
      </c>
      <c r="AA17" s="180">
        <f t="shared" si="14"/>
        <v>1.8482864844050828</v>
      </c>
      <c r="AB17" s="180">
        <f t="shared" si="15"/>
        <v>8.4231817558083441E-2</v>
      </c>
      <c r="AC17" s="180"/>
      <c r="AD17" s="180">
        <f t="shared" si="16"/>
        <v>1.217557251908397</v>
      </c>
      <c r="AE17" s="564">
        <f t="shared" si="17"/>
        <v>114.90340812576243</v>
      </c>
      <c r="AF17" s="547">
        <f t="shared" si="18"/>
        <v>3.6552440597785188E-2</v>
      </c>
      <c r="AH17" s="180">
        <f t="shared" si="19"/>
        <v>0.16295963965302623</v>
      </c>
      <c r="AI17" s="180">
        <f t="shared" si="20"/>
        <v>0.28999999999999998</v>
      </c>
      <c r="AJ17" s="180">
        <f t="shared" si="21"/>
        <v>1.0656590903575784</v>
      </c>
      <c r="AL17" s="564">
        <f t="shared" si="22"/>
        <v>12</v>
      </c>
      <c r="AM17" s="473">
        <f t="shared" si="23"/>
        <v>114.90340812576243</v>
      </c>
      <c r="AO17">
        <f t="shared" si="47"/>
        <v>12</v>
      </c>
      <c r="AP17" s="473">
        <f t="shared" si="24"/>
        <v>114.90340812576243</v>
      </c>
      <c r="AQ17" s="473"/>
      <c r="AR17" s="5">
        <f t="shared" si="48"/>
        <v>8.7029620470917148</v>
      </c>
      <c r="AS17" s="5">
        <f t="shared" si="25"/>
        <v>0.6645833333333333</v>
      </c>
      <c r="AT17" s="5">
        <f t="shared" si="49"/>
        <v>8.038378713758382</v>
      </c>
      <c r="AU17" s="180">
        <f t="shared" si="50"/>
        <v>7.6362889983579596E-2</v>
      </c>
      <c r="AW17" s="5">
        <f t="shared" si="26"/>
        <v>0.12658730158730158</v>
      </c>
      <c r="AX17" s="5">
        <f t="shared" si="27"/>
        <v>5.3166666666666661E-2</v>
      </c>
      <c r="AY17" s="5">
        <f t="shared" si="28"/>
        <v>2.3445271248461946E-2</v>
      </c>
      <c r="AZ17" s="5"/>
      <c r="BA17" s="180">
        <f t="shared" si="51"/>
        <v>4.6267767929805602E-2</v>
      </c>
      <c r="BB17" s="180">
        <f t="shared" si="29"/>
        <v>9.5187298007892024E-2</v>
      </c>
      <c r="BC17" s="180">
        <f t="shared" si="30"/>
        <v>9.7342201709866155E-2</v>
      </c>
      <c r="BD17" s="180"/>
      <c r="BE17" s="547">
        <f t="shared" si="31"/>
        <v>7.4924722222222172E-4</v>
      </c>
      <c r="BF17" s="547">
        <f t="shared" si="32"/>
        <v>1.236245768025078E-2</v>
      </c>
      <c r="BG17" s="547">
        <f t="shared" si="33"/>
        <v>1.4362926015720303E-3</v>
      </c>
      <c r="BH17" s="547">
        <f t="shared" si="34"/>
        <v>9.093866498756889E-3</v>
      </c>
      <c r="BI17">
        <f t="shared" si="35"/>
        <v>6.96E-3</v>
      </c>
      <c r="BJ17" s="473">
        <f t="shared" si="52"/>
        <v>30.601864002801921</v>
      </c>
      <c r="BK17" s="180">
        <f t="shared" si="36"/>
        <v>4.1999999999999997E-3</v>
      </c>
      <c r="BL17" s="180">
        <f t="shared" si="37"/>
        <v>4.1999999999999997E-3</v>
      </c>
      <c r="BM17" s="547"/>
      <c r="BO17" s="473">
        <f t="shared" si="53"/>
        <v>8.4</v>
      </c>
      <c r="BP17" s="547">
        <f t="shared" si="38"/>
        <v>2.3547769841269828E-4</v>
      </c>
      <c r="BQ17" s="547">
        <f t="shared" si="54"/>
        <v>3.1712175957151356E-4</v>
      </c>
      <c r="BR17" s="547">
        <f t="shared" si="39"/>
        <v>2.8426512701172808E-4</v>
      </c>
      <c r="BS17" s="547">
        <f t="shared" si="40"/>
        <v>3.2047730148446955E-4</v>
      </c>
      <c r="BT17" s="657">
        <f t="shared" si="41"/>
        <v>9.6633766233766207E-3</v>
      </c>
      <c r="BU17" s="473">
        <f t="shared" si="55"/>
        <v>10.820718509857031</v>
      </c>
      <c r="BV17" s="180">
        <f t="shared" si="56"/>
        <v>4.9822582512658954E-2</v>
      </c>
      <c r="BW17" s="5">
        <f t="shared" si="57"/>
        <v>0.25559999999999999</v>
      </c>
      <c r="BX17" s="180">
        <f t="shared" si="58"/>
        <v>0.83687328519464022</v>
      </c>
      <c r="BY17" s="5">
        <f t="shared" si="59"/>
        <v>83.687328519464018</v>
      </c>
      <c r="BZ17">
        <f t="shared" si="60"/>
        <v>12</v>
      </c>
      <c r="CB17" s="582">
        <f t="shared" si="42"/>
        <v>-50</v>
      </c>
      <c r="CC17">
        <f t="shared" si="43"/>
        <v>-50</v>
      </c>
    </row>
    <row r="18" spans="5:81" x14ac:dyDescent="0.25">
      <c r="E18" s="177">
        <v>13</v>
      </c>
      <c r="F18" s="224">
        <f t="shared" si="61"/>
        <v>1.3000000000000001E-2</v>
      </c>
      <c r="G18" s="224">
        <f t="shared" si="44"/>
        <v>1.3000000000000001E-2</v>
      </c>
      <c r="H18" s="224">
        <f t="shared" si="0"/>
        <v>8.1900000000000001E-2</v>
      </c>
      <c r="I18" s="224">
        <f t="shared" si="62"/>
        <v>0.19500000000000001</v>
      </c>
      <c r="J18" s="560">
        <f t="shared" si="1"/>
        <v>24</v>
      </c>
      <c r="K18" s="455">
        <f t="shared" si="2"/>
        <v>13.1</v>
      </c>
      <c r="L18" s="455">
        <f t="shared" si="3"/>
        <v>37.1</v>
      </c>
      <c r="M18" s="455"/>
      <c r="N18" s="224">
        <f t="shared" si="4"/>
        <v>0.35309973045822102</v>
      </c>
      <c r="O18" s="179">
        <f t="shared" si="45"/>
        <v>1.6354982726547966</v>
      </c>
      <c r="P18" s="179">
        <f t="shared" si="5"/>
        <v>3.8940435063209446</v>
      </c>
      <c r="Q18" s="224">
        <f t="shared" si="6"/>
        <v>0.25960290042139628</v>
      </c>
      <c r="R18" s="224">
        <f t="shared" si="7"/>
        <v>0.10903321817698644</v>
      </c>
      <c r="S18" s="455">
        <f t="shared" si="8"/>
        <v>6.3</v>
      </c>
      <c r="T18" s="224">
        <f t="shared" si="9"/>
        <v>7.2610899067005949E-2</v>
      </c>
      <c r="U18" s="224">
        <f t="shared" si="10"/>
        <v>0.1663999770285553</v>
      </c>
      <c r="V18" s="224">
        <f t="shared" si="11"/>
        <v>0.30485491974697154</v>
      </c>
      <c r="W18" s="204">
        <f t="shared" si="12"/>
        <v>350</v>
      </c>
      <c r="X18" s="455">
        <f t="shared" si="46"/>
        <v>350</v>
      </c>
      <c r="Z18" s="224">
        <f t="shared" si="13"/>
        <v>0.44022823537648331</v>
      </c>
      <c r="AA18" s="180">
        <f t="shared" si="14"/>
        <v>1.8482864844050828</v>
      </c>
      <c r="AB18" s="180">
        <f t="shared" si="15"/>
        <v>8.4231817558083441E-2</v>
      </c>
      <c r="AC18" s="180"/>
      <c r="AD18" s="180">
        <f t="shared" si="16"/>
        <v>1.217557251908397</v>
      </c>
      <c r="AE18" s="564">
        <f t="shared" si="17"/>
        <v>124.47869213624266</v>
      </c>
      <c r="AF18" s="547">
        <f t="shared" si="18"/>
        <v>3.6552440597785188E-2</v>
      </c>
      <c r="AH18" s="180">
        <f t="shared" si="19"/>
        <v>0.16961377057547886</v>
      </c>
      <c r="AI18" s="180">
        <f t="shared" si="20"/>
        <v>0.28999999999999998</v>
      </c>
      <c r="AJ18" s="180">
        <f t="shared" si="21"/>
        <v>1.0711306812207102</v>
      </c>
      <c r="AL18" s="564">
        <f t="shared" si="22"/>
        <v>13.000000000000002</v>
      </c>
      <c r="AM18" s="473">
        <f t="shared" si="23"/>
        <v>124.47869213624266</v>
      </c>
      <c r="AO18">
        <f t="shared" si="47"/>
        <v>13.000000000000002</v>
      </c>
      <c r="AP18" s="473">
        <f t="shared" si="24"/>
        <v>124.47869213624266</v>
      </c>
      <c r="AQ18" s="473"/>
      <c r="AR18" s="5">
        <f t="shared" si="48"/>
        <v>8.0335034280846571</v>
      </c>
      <c r="AS18" s="5">
        <f t="shared" si="25"/>
        <v>0.6645833333333333</v>
      </c>
      <c r="AT18" s="5">
        <f t="shared" si="49"/>
        <v>7.3689200947513243</v>
      </c>
      <c r="AU18" s="180">
        <f t="shared" si="50"/>
        <v>8.2726464148877923E-2</v>
      </c>
      <c r="AW18" s="5">
        <f t="shared" si="26"/>
        <v>0.13713624338624339</v>
      </c>
      <c r="AX18" s="5">
        <f t="shared" si="27"/>
        <v>5.759722222222223E-2</v>
      </c>
      <c r="AY18" s="5">
        <f t="shared" si="28"/>
        <v>2.3283740577165642E-2</v>
      </c>
      <c r="AZ18" s="5"/>
      <c r="BA18" s="180">
        <f t="shared" si="51"/>
        <v>4.8157019685332945E-2</v>
      </c>
      <c r="BB18" s="180">
        <f t="shared" si="29"/>
        <v>9.4858825732844376E-2</v>
      </c>
      <c r="BC18" s="180">
        <f t="shared" si="30"/>
        <v>9.7006293294321727E-2</v>
      </c>
      <c r="BD18" s="180"/>
      <c r="BE18" s="547">
        <f t="shared" si="31"/>
        <v>8.116844907407407E-4</v>
      </c>
      <c r="BF18" s="547">
        <f t="shared" si="32"/>
        <v>1.3392662486938349E-2</v>
      </c>
      <c r="BG18" s="547">
        <f t="shared" si="33"/>
        <v>1.5559836517030333E-3</v>
      </c>
      <c r="BH18" s="547">
        <f t="shared" si="34"/>
        <v>9.8516887069866315E-3</v>
      </c>
      <c r="BI18">
        <f t="shared" si="35"/>
        <v>6.96E-3</v>
      </c>
      <c r="BJ18" s="473">
        <f t="shared" si="52"/>
        <v>32.572019336368754</v>
      </c>
      <c r="BK18" s="180">
        <f t="shared" si="36"/>
        <v>4.5500000000000002E-3</v>
      </c>
      <c r="BL18" s="180">
        <f t="shared" si="37"/>
        <v>4.5500000000000002E-3</v>
      </c>
      <c r="BM18" s="547"/>
      <c r="BO18" s="473">
        <f t="shared" si="53"/>
        <v>9.1</v>
      </c>
      <c r="BP18" s="547">
        <f t="shared" si="38"/>
        <v>2.5510083994708993E-4</v>
      </c>
      <c r="BQ18" s="547">
        <f t="shared" si="54"/>
        <v>3.1493688867949488E-4</v>
      </c>
      <c r="BR18" s="547">
        <f t="shared" si="39"/>
        <v>2.8230662816111906E-4</v>
      </c>
      <c r="BS18" s="547">
        <f t="shared" si="40"/>
        <v>3.9147365505225054E-4</v>
      </c>
      <c r="BT18" s="657">
        <f t="shared" si="41"/>
        <v>1.0468658008658009E-2</v>
      </c>
      <c r="BU18" s="473">
        <f t="shared" si="55"/>
        <v>11.712476020497963</v>
      </c>
      <c r="BV18" s="180">
        <f t="shared" si="56"/>
        <v>5.3384495356866714E-2</v>
      </c>
      <c r="BW18" s="5">
        <f t="shared" si="57"/>
        <v>0.27690000000000003</v>
      </c>
      <c r="BX18" s="180">
        <f t="shared" si="58"/>
        <v>0.83836814592466502</v>
      </c>
      <c r="BY18" s="5">
        <f t="shared" si="59"/>
        <v>83.836814592466496</v>
      </c>
      <c r="BZ18">
        <f t="shared" si="60"/>
        <v>13</v>
      </c>
      <c r="CB18" s="582">
        <f t="shared" si="42"/>
        <v>-50</v>
      </c>
      <c r="CC18">
        <f t="shared" si="43"/>
        <v>-50</v>
      </c>
    </row>
    <row r="19" spans="5:81" x14ac:dyDescent="0.25">
      <c r="E19" s="177">
        <v>14</v>
      </c>
      <c r="F19" s="224">
        <f t="shared" si="61"/>
        <v>1.4000000000000002E-2</v>
      </c>
      <c r="G19" s="224">
        <f t="shared" si="44"/>
        <v>1.4000000000000002E-2</v>
      </c>
      <c r="H19" s="224">
        <f t="shared" si="0"/>
        <v>8.8200000000000014E-2</v>
      </c>
      <c r="I19" s="224">
        <f t="shared" si="62"/>
        <v>0.21000000000000002</v>
      </c>
      <c r="J19" s="560">
        <f t="shared" si="1"/>
        <v>24</v>
      </c>
      <c r="K19" s="455">
        <f t="shared" si="2"/>
        <v>13.1</v>
      </c>
      <c r="L19" s="455">
        <f t="shared" si="3"/>
        <v>37.1</v>
      </c>
      <c r="M19" s="455"/>
      <c r="N19" s="224">
        <f t="shared" si="4"/>
        <v>0.35309973045822102</v>
      </c>
      <c r="O19" s="179">
        <f t="shared" si="45"/>
        <v>1.6354982726547966</v>
      </c>
      <c r="P19" s="179">
        <f t="shared" si="5"/>
        <v>3.8940435063209446</v>
      </c>
      <c r="Q19" s="224">
        <f t="shared" si="6"/>
        <v>0.25960290042139628</v>
      </c>
      <c r="R19" s="224">
        <f t="shared" si="7"/>
        <v>0.10903321817698644</v>
      </c>
      <c r="S19" s="455">
        <f t="shared" si="8"/>
        <v>6.3</v>
      </c>
      <c r="T19" s="224">
        <f t="shared" si="9"/>
        <v>7.8196352841391009E-2</v>
      </c>
      <c r="U19" s="224">
        <f t="shared" si="10"/>
        <v>0.17919997526152107</v>
      </c>
      <c r="V19" s="224">
        <f t="shared" si="11"/>
        <v>0.32830529818904625</v>
      </c>
      <c r="W19" s="204">
        <f t="shared" si="12"/>
        <v>350</v>
      </c>
      <c r="X19" s="455">
        <f t="shared" si="46"/>
        <v>350</v>
      </c>
      <c r="Z19" s="224">
        <f t="shared" si="13"/>
        <v>0.44022823537648331</v>
      </c>
      <c r="AA19" s="180">
        <f t="shared" si="14"/>
        <v>1.8482864844050828</v>
      </c>
      <c r="AB19" s="180">
        <f t="shared" si="15"/>
        <v>8.4231817558083441E-2</v>
      </c>
      <c r="AC19" s="180"/>
      <c r="AD19" s="180">
        <f t="shared" si="16"/>
        <v>1.217557251908397</v>
      </c>
      <c r="AE19" s="564">
        <f t="shared" si="17"/>
        <v>134.05397614672287</v>
      </c>
      <c r="AF19" s="547">
        <f t="shared" si="18"/>
        <v>3.6552440597785188E-2</v>
      </c>
      <c r="AH19" s="180">
        <f t="shared" si="19"/>
        <v>0.17601652814954108</v>
      </c>
      <c r="AI19" s="180">
        <f t="shared" si="20"/>
        <v>0.28999999999999998</v>
      </c>
      <c r="AJ19" s="180">
        <f t="shared" si="21"/>
        <v>1.0766022720838417</v>
      </c>
      <c r="AL19" s="564">
        <f t="shared" si="22"/>
        <v>14.000000000000002</v>
      </c>
      <c r="AM19" s="473">
        <f t="shared" si="23"/>
        <v>134.05397614672287</v>
      </c>
      <c r="AO19">
        <f t="shared" si="47"/>
        <v>14.000000000000002</v>
      </c>
      <c r="AP19" s="473">
        <f t="shared" si="24"/>
        <v>134.05397614672287</v>
      </c>
      <c r="AQ19" s="473"/>
      <c r="AR19" s="5">
        <f t="shared" si="48"/>
        <v>7.4596817546500382</v>
      </c>
      <c r="AS19" s="5">
        <f t="shared" si="25"/>
        <v>0.6645833333333333</v>
      </c>
      <c r="AT19" s="5">
        <f t="shared" si="49"/>
        <v>6.7950984213167054</v>
      </c>
      <c r="AU19" s="180">
        <f t="shared" si="50"/>
        <v>8.9090038314176237E-2</v>
      </c>
      <c r="AW19" s="5">
        <f t="shared" si="26"/>
        <v>0.1476851851851852</v>
      </c>
      <c r="AX19" s="5">
        <f t="shared" si="27"/>
        <v>6.2027777777777779E-2</v>
      </c>
      <c r="AY19" s="5">
        <f t="shared" si="28"/>
        <v>2.3122209905869346E-2</v>
      </c>
      <c r="AZ19" s="5"/>
      <c r="BA19" s="180">
        <f t="shared" si="51"/>
        <v>4.9974901107863533E-2</v>
      </c>
      <c r="BB19" s="180">
        <f t="shared" si="29"/>
        <v>9.4529212081689476E-2</v>
      </c>
      <c r="BC19" s="180">
        <f t="shared" si="30"/>
        <v>9.6669217663554435E-2</v>
      </c>
      <c r="BD19" s="180"/>
      <c r="BE19" s="547">
        <f t="shared" si="31"/>
        <v>8.7412175925925882E-4</v>
      </c>
      <c r="BF19" s="547">
        <f t="shared" si="32"/>
        <v>1.4422867293625914E-2</v>
      </c>
      <c r="BG19" s="547">
        <f t="shared" si="33"/>
        <v>1.6756747018340358E-3</v>
      </c>
      <c r="BH19" s="547">
        <f t="shared" si="34"/>
        <v>1.0609510915216374E-2</v>
      </c>
      <c r="BI19">
        <f t="shared" si="35"/>
        <v>6.96E-3</v>
      </c>
      <c r="BJ19" s="473">
        <f t="shared" si="52"/>
        <v>34.542174669935584</v>
      </c>
      <c r="BK19" s="180">
        <f t="shared" si="36"/>
        <v>4.9000000000000007E-3</v>
      </c>
      <c r="BL19" s="180">
        <f t="shared" si="37"/>
        <v>4.9000000000000007E-3</v>
      </c>
      <c r="BM19" s="547"/>
      <c r="BO19" s="473">
        <f t="shared" si="53"/>
        <v>9.8000000000000007</v>
      </c>
      <c r="BP19" s="547">
        <f t="shared" si="38"/>
        <v>2.7472398148148137E-4</v>
      </c>
      <c r="BQ19" s="547">
        <f t="shared" si="54"/>
        <v>3.1275201778747604E-4</v>
      </c>
      <c r="BR19" s="547">
        <f t="shared" si="39"/>
        <v>2.8034812931050992E-4</v>
      </c>
      <c r="BS19" s="547">
        <f t="shared" si="40"/>
        <v>4.7115548260032381E-4</v>
      </c>
      <c r="BT19" s="657">
        <f t="shared" si="41"/>
        <v>1.1273939393939395E-2</v>
      </c>
      <c r="BU19" s="473">
        <f t="shared" si="55"/>
        <v>12.612919005119187</v>
      </c>
      <c r="BV19" s="180">
        <f t="shared" si="56"/>
        <v>5.6955093675054774E-2</v>
      </c>
      <c r="BW19" s="5">
        <f t="shared" si="57"/>
        <v>0.29820000000000002</v>
      </c>
      <c r="BX19" s="180">
        <f t="shared" si="58"/>
        <v>0.83963317804146365</v>
      </c>
      <c r="BY19" s="5">
        <f t="shared" si="59"/>
        <v>83.963317804146371</v>
      </c>
      <c r="BZ19">
        <f t="shared" si="60"/>
        <v>14.000000000000002</v>
      </c>
      <c r="CB19" s="582">
        <f t="shared" si="42"/>
        <v>-50</v>
      </c>
      <c r="CC19">
        <f t="shared" si="43"/>
        <v>-50</v>
      </c>
    </row>
    <row r="20" spans="5:81" x14ac:dyDescent="0.25">
      <c r="E20" s="177">
        <v>15</v>
      </c>
      <c r="F20" s="224">
        <f t="shared" si="61"/>
        <v>1.4999999999999999E-2</v>
      </c>
      <c r="G20" s="224">
        <f t="shared" si="44"/>
        <v>1.4999999999999999E-2</v>
      </c>
      <c r="H20" s="224">
        <f t="shared" si="0"/>
        <v>9.4500000000000001E-2</v>
      </c>
      <c r="I20" s="224">
        <f t="shared" si="62"/>
        <v>0.22499999999999998</v>
      </c>
      <c r="J20" s="560">
        <f t="shared" si="1"/>
        <v>24</v>
      </c>
      <c r="K20" s="455">
        <f t="shared" si="2"/>
        <v>13.1</v>
      </c>
      <c r="L20" s="455">
        <f t="shared" si="3"/>
        <v>37.1</v>
      </c>
      <c r="M20" s="455"/>
      <c r="N20" s="224">
        <f t="shared" si="4"/>
        <v>0.35309973045822102</v>
      </c>
      <c r="O20" s="179">
        <f t="shared" si="45"/>
        <v>1.6354982726547966</v>
      </c>
      <c r="P20" s="179">
        <f t="shared" si="5"/>
        <v>3.8940435063209446</v>
      </c>
      <c r="Q20" s="224">
        <f t="shared" si="6"/>
        <v>0.25960290042139628</v>
      </c>
      <c r="R20" s="224">
        <f t="shared" si="7"/>
        <v>0.10903321817698644</v>
      </c>
      <c r="S20" s="455">
        <f t="shared" si="8"/>
        <v>6.3</v>
      </c>
      <c r="T20" s="224">
        <f t="shared" si="9"/>
        <v>8.3781806615776083E-2</v>
      </c>
      <c r="U20" s="224">
        <f t="shared" si="10"/>
        <v>0.19199997349448686</v>
      </c>
      <c r="V20" s="224">
        <f t="shared" si="11"/>
        <v>0.35175567663112095</v>
      </c>
      <c r="W20" s="204">
        <f t="shared" si="12"/>
        <v>350</v>
      </c>
      <c r="X20" s="455">
        <f t="shared" si="46"/>
        <v>350</v>
      </c>
      <c r="Z20" s="224">
        <f t="shared" si="13"/>
        <v>0.44022823537648331</v>
      </c>
      <c r="AA20" s="180">
        <f t="shared" si="14"/>
        <v>1.8482864844050828</v>
      </c>
      <c r="AB20" s="180">
        <f t="shared" si="15"/>
        <v>8.4231817558083441E-2</v>
      </c>
      <c r="AC20" s="180"/>
      <c r="AD20" s="180">
        <f t="shared" si="16"/>
        <v>1.217557251908397</v>
      </c>
      <c r="AE20" s="564">
        <f t="shared" si="17"/>
        <v>143.62926015720305</v>
      </c>
      <c r="AF20" s="547">
        <f t="shared" si="18"/>
        <v>3.6552440597785188E-2</v>
      </c>
      <c r="AH20" s="180">
        <f t="shared" si="19"/>
        <v>0.18219441592651844</v>
      </c>
      <c r="AI20" s="180">
        <f t="shared" si="20"/>
        <v>0.28999999999999998</v>
      </c>
      <c r="AJ20" s="180">
        <f t="shared" si="21"/>
        <v>1.0820738629469733</v>
      </c>
      <c r="AL20" s="564">
        <f t="shared" si="22"/>
        <v>15</v>
      </c>
      <c r="AM20" s="473">
        <f t="shared" si="23"/>
        <v>143.62926015720305</v>
      </c>
      <c r="AO20">
        <f t="shared" si="47"/>
        <v>15</v>
      </c>
      <c r="AP20" s="473">
        <f t="shared" si="24"/>
        <v>143.62926015720305</v>
      </c>
      <c r="AQ20" s="473"/>
      <c r="AR20" s="5">
        <f t="shared" si="48"/>
        <v>6.9623696376733699</v>
      </c>
      <c r="AS20" s="5">
        <f t="shared" si="25"/>
        <v>0.6645833333333333</v>
      </c>
      <c r="AT20" s="5">
        <f t="shared" si="49"/>
        <v>6.2977863043400362</v>
      </c>
      <c r="AU20" s="180">
        <f t="shared" si="50"/>
        <v>9.5453612479474523E-2</v>
      </c>
      <c r="AW20" s="5">
        <f t="shared" si="26"/>
        <v>0.15823412698412695</v>
      </c>
      <c r="AX20" s="5">
        <f t="shared" si="27"/>
        <v>6.6458333333333328E-2</v>
      </c>
      <c r="AY20" s="5">
        <f t="shared" si="28"/>
        <v>2.2960679234573043E-2</v>
      </c>
      <c r="AZ20" s="5"/>
      <c r="BA20" s="180">
        <f t="shared" si="51"/>
        <v>5.1728937129115027E-2</v>
      </c>
      <c r="BB20" s="180">
        <f t="shared" si="29"/>
        <v>9.4198445072919981E-2</v>
      </c>
      <c r="BC20" s="180">
        <f t="shared" si="30"/>
        <v>9.6330962564812786E-2</v>
      </c>
      <c r="BD20" s="180"/>
      <c r="BE20" s="547">
        <f t="shared" si="31"/>
        <v>9.3655902777777726E-4</v>
      </c>
      <c r="BF20" s="547">
        <f t="shared" si="32"/>
        <v>1.5453072100313478E-2</v>
      </c>
      <c r="BG20" s="547">
        <f t="shared" si="33"/>
        <v>1.7953657519650379E-3</v>
      </c>
      <c r="BH20" s="547">
        <f t="shared" si="34"/>
        <v>1.1367333123446111E-2</v>
      </c>
      <c r="BI20">
        <f t="shared" si="35"/>
        <v>6.96E-3</v>
      </c>
      <c r="BJ20" s="473">
        <f t="shared" si="52"/>
        <v>36.512330003502399</v>
      </c>
      <c r="BK20" s="180">
        <f t="shared" si="36"/>
        <v>5.2499999999999995E-3</v>
      </c>
      <c r="BL20" s="180">
        <f t="shared" si="37"/>
        <v>5.2499999999999995E-3</v>
      </c>
      <c r="BM20" s="547"/>
      <c r="BO20" s="473">
        <f t="shared" si="53"/>
        <v>10.499999999999998</v>
      </c>
      <c r="BP20" s="547">
        <f t="shared" si="38"/>
        <v>2.9434712301587286E-4</v>
      </c>
      <c r="BQ20" s="547">
        <f t="shared" si="54"/>
        <v>3.1056714689545732E-4</v>
      </c>
      <c r="BR20" s="547">
        <f t="shared" si="39"/>
        <v>2.7838963045990085E-4</v>
      </c>
      <c r="BS20" s="547">
        <f t="shared" si="40"/>
        <v>5.5985080575388102E-4</v>
      </c>
      <c r="BT20" s="657">
        <f t="shared" si="41"/>
        <v>1.2079220779220778E-2</v>
      </c>
      <c r="BU20" s="473">
        <f t="shared" si="55"/>
        <v>13.52237548534589</v>
      </c>
      <c r="BV20" s="180">
        <f t="shared" si="56"/>
        <v>6.0534705488848296E-2</v>
      </c>
      <c r="BW20" s="5">
        <f t="shared" si="57"/>
        <v>0.31950000000000001</v>
      </c>
      <c r="BX20" s="180">
        <f t="shared" si="58"/>
        <v>0.84071269119755532</v>
      </c>
      <c r="BY20" s="5">
        <f t="shared" si="59"/>
        <v>84.071269119755527</v>
      </c>
      <c r="BZ20">
        <f t="shared" si="60"/>
        <v>15</v>
      </c>
      <c r="CB20" s="582">
        <f t="shared" si="42"/>
        <v>-50</v>
      </c>
      <c r="CC20">
        <f t="shared" si="43"/>
        <v>-50</v>
      </c>
    </row>
    <row r="21" spans="5:81" s="77" customFormat="1" x14ac:dyDescent="0.25">
      <c r="E21" s="196">
        <v>16</v>
      </c>
      <c r="F21" s="336">
        <f t="shared" si="61"/>
        <v>1.6E-2</v>
      </c>
      <c r="G21" s="224">
        <f t="shared" si="44"/>
        <v>1.6E-2</v>
      </c>
      <c r="H21" s="224">
        <f t="shared" si="0"/>
        <v>0.1008</v>
      </c>
      <c r="I21" s="224">
        <f t="shared" si="62"/>
        <v>0.24</v>
      </c>
      <c r="J21" s="560">
        <f t="shared" si="1"/>
        <v>24</v>
      </c>
      <c r="K21" s="455">
        <f t="shared" si="2"/>
        <v>13.1</v>
      </c>
      <c r="L21" s="554">
        <f t="shared" si="3"/>
        <v>37.1</v>
      </c>
      <c r="M21" s="554"/>
      <c r="N21" s="336">
        <f t="shared" si="4"/>
        <v>0.35309973045822102</v>
      </c>
      <c r="O21" s="179">
        <f t="shared" si="45"/>
        <v>1.6354982726547966</v>
      </c>
      <c r="P21" s="179">
        <f t="shared" si="5"/>
        <v>3.8940435063209446</v>
      </c>
      <c r="Q21" s="336">
        <f t="shared" si="6"/>
        <v>0.25960290042139628</v>
      </c>
      <c r="R21" s="224">
        <f t="shared" si="7"/>
        <v>0.10903321817698644</v>
      </c>
      <c r="S21" s="455">
        <f t="shared" si="8"/>
        <v>6.3</v>
      </c>
      <c r="T21" s="224">
        <f t="shared" si="9"/>
        <v>8.9367260390161143E-2</v>
      </c>
      <c r="U21" s="336">
        <f t="shared" si="10"/>
        <v>0.2047999717274526</v>
      </c>
      <c r="V21" s="224">
        <f t="shared" si="11"/>
        <v>0.37520605507319565</v>
      </c>
      <c r="W21" s="556">
        <f t="shared" si="12"/>
        <v>350</v>
      </c>
      <c r="X21" s="554">
        <f t="shared" si="46"/>
        <v>350</v>
      </c>
      <c r="Z21" s="336">
        <f t="shared" si="13"/>
        <v>0.44022823537648331</v>
      </c>
      <c r="AA21" s="180">
        <f t="shared" si="14"/>
        <v>1.8482864844050828</v>
      </c>
      <c r="AB21" s="180">
        <f t="shared" si="15"/>
        <v>8.4231817558083441E-2</v>
      </c>
      <c r="AC21" s="557"/>
      <c r="AD21" s="180">
        <f t="shared" si="16"/>
        <v>1.217557251908397</v>
      </c>
      <c r="AE21" s="564">
        <f t="shared" si="17"/>
        <v>153.20454416768325</v>
      </c>
      <c r="AF21" s="547">
        <f t="shared" si="18"/>
        <v>3.6552440597785188E-2</v>
      </c>
      <c r="AG21"/>
      <c r="AH21" s="180">
        <f t="shared" si="19"/>
        <v>0.18816958364143821</v>
      </c>
      <c r="AI21" s="180">
        <f t="shared" si="20"/>
        <v>0.28999999999999998</v>
      </c>
      <c r="AJ21" s="180">
        <f t="shared" si="21"/>
        <v>1.0875454538101048</v>
      </c>
      <c r="AL21" s="564">
        <f t="shared" si="22"/>
        <v>16</v>
      </c>
      <c r="AM21" s="473">
        <f t="shared" si="23"/>
        <v>153.20454416768325</v>
      </c>
      <c r="AO21">
        <f t="shared" si="47"/>
        <v>16</v>
      </c>
      <c r="AP21" s="473">
        <f t="shared" si="24"/>
        <v>153.20454416768325</v>
      </c>
      <c r="AQ21" s="473"/>
      <c r="AR21" s="5">
        <f t="shared" si="48"/>
        <v>6.5272215353187848</v>
      </c>
      <c r="AS21" s="5">
        <f t="shared" si="25"/>
        <v>0.6645833333333333</v>
      </c>
      <c r="AT21" s="5">
        <f t="shared" si="49"/>
        <v>5.862638201985451</v>
      </c>
      <c r="AU21" s="180">
        <f t="shared" si="50"/>
        <v>0.10181718664477282</v>
      </c>
      <c r="AW21" s="5">
        <f t="shared" si="26"/>
        <v>0.16878306878306878</v>
      </c>
      <c r="AX21" s="5">
        <f t="shared" si="27"/>
        <v>7.088888888888889E-2</v>
      </c>
      <c r="AY21" s="5">
        <f t="shared" si="28"/>
        <v>2.2799148563276753E-2</v>
      </c>
      <c r="AZ21" s="5"/>
      <c r="BA21" s="180">
        <f t="shared" si="51"/>
        <v>5.3425416538152803E-2</v>
      </c>
      <c r="BB21" s="180">
        <f t="shared" si="29"/>
        <v>9.386651251392486E-2</v>
      </c>
      <c r="BC21" s="180">
        <f t="shared" si="30"/>
        <v>9.5991515529462584E-2</v>
      </c>
      <c r="BD21" s="180"/>
      <c r="BE21" s="547">
        <f t="shared" si="31"/>
        <v>9.9899629629629592E-4</v>
      </c>
      <c r="BF21" s="547">
        <f t="shared" si="32"/>
        <v>1.6483276907001042E-2</v>
      </c>
      <c r="BG21" s="547">
        <f t="shared" si="33"/>
        <v>1.9150568020960407E-3</v>
      </c>
      <c r="BH21" s="547">
        <f t="shared" si="34"/>
        <v>1.2125155331675854E-2</v>
      </c>
      <c r="BI21">
        <f t="shared" si="35"/>
        <v>6.96E-3</v>
      </c>
      <c r="BJ21" s="473">
        <f t="shared" si="52"/>
        <v>38.482485337069228</v>
      </c>
      <c r="BK21" s="180">
        <f t="shared" si="36"/>
        <v>5.5999999999999999E-3</v>
      </c>
      <c r="BL21" s="180">
        <f t="shared" si="37"/>
        <v>5.5999999999999999E-3</v>
      </c>
      <c r="BM21" s="547"/>
      <c r="BO21" s="473">
        <f t="shared" si="53"/>
        <v>11.2</v>
      </c>
      <c r="BP21" s="547">
        <f t="shared" si="38"/>
        <v>3.1397026455026446E-4</v>
      </c>
      <c r="BQ21" s="547">
        <f t="shared" si="54"/>
        <v>3.0838227600343848E-4</v>
      </c>
      <c r="BR21" s="547">
        <f t="shared" si="39"/>
        <v>2.7643113160929166E-4</v>
      </c>
      <c r="BS21" s="547">
        <f t="shared" si="40"/>
        <v>6.5787611122212694E-4</v>
      </c>
      <c r="BT21" s="657">
        <f t="shared" si="41"/>
        <v>1.2884502164502163E-2</v>
      </c>
      <c r="BU21" s="473">
        <f t="shared" si="55"/>
        <v>14.441161947887284</v>
      </c>
      <c r="BV21" s="180">
        <f t="shared" si="56"/>
        <v>6.4123647284956523E-2</v>
      </c>
      <c r="BW21" s="5">
        <f t="shared" si="57"/>
        <v>0.34079999999999999</v>
      </c>
      <c r="BX21" s="180">
        <f t="shared" si="58"/>
        <v>0.84164015187823582</v>
      </c>
      <c r="BY21" s="5">
        <f t="shared" si="59"/>
        <v>84.16401518782358</v>
      </c>
      <c r="BZ21">
        <f t="shared" si="60"/>
        <v>16</v>
      </c>
      <c r="CB21" s="582">
        <f t="shared" si="42"/>
        <v>-50</v>
      </c>
      <c r="CC21">
        <f t="shared" si="43"/>
        <v>-50</v>
      </c>
    </row>
    <row r="22" spans="5:81" x14ac:dyDescent="0.25">
      <c r="E22" s="177">
        <v>17</v>
      </c>
      <c r="F22" s="224">
        <f t="shared" si="61"/>
        <v>1.7000000000000001E-2</v>
      </c>
      <c r="G22" s="224">
        <f t="shared" si="44"/>
        <v>1.7000000000000001E-2</v>
      </c>
      <c r="H22" s="224">
        <f t="shared" si="0"/>
        <v>0.1071</v>
      </c>
      <c r="I22" s="224">
        <f t="shared" si="62"/>
        <v>0.255</v>
      </c>
      <c r="J22" s="560">
        <f t="shared" si="1"/>
        <v>24</v>
      </c>
      <c r="K22" s="455">
        <f t="shared" si="2"/>
        <v>13.1</v>
      </c>
      <c r="L22" s="455">
        <f t="shared" si="3"/>
        <v>37.1</v>
      </c>
      <c r="M22" s="455"/>
      <c r="N22" s="224">
        <f t="shared" si="4"/>
        <v>0.35309973045822102</v>
      </c>
      <c r="O22" s="179">
        <f t="shared" si="45"/>
        <v>1.6354982726547966</v>
      </c>
      <c r="P22" s="179">
        <f t="shared" si="5"/>
        <v>3.8940435063209446</v>
      </c>
      <c r="Q22" s="224">
        <f t="shared" si="6"/>
        <v>0.25960290042139628</v>
      </c>
      <c r="R22" s="224">
        <f t="shared" si="7"/>
        <v>0.10903321817698644</v>
      </c>
      <c r="S22" s="455">
        <f t="shared" si="8"/>
        <v>6.3</v>
      </c>
      <c r="T22" s="224">
        <f t="shared" si="9"/>
        <v>9.4952714164546217E-2</v>
      </c>
      <c r="U22" s="224">
        <f t="shared" si="10"/>
        <v>0.21759996996041842</v>
      </c>
      <c r="V22" s="224">
        <f t="shared" si="11"/>
        <v>0.39865643351527047</v>
      </c>
      <c r="W22" s="204">
        <f t="shared" si="12"/>
        <v>350</v>
      </c>
      <c r="X22" s="455">
        <f t="shared" si="46"/>
        <v>350</v>
      </c>
      <c r="Z22" s="224">
        <f t="shared" si="13"/>
        <v>0.44022823537648331</v>
      </c>
      <c r="AA22" s="180">
        <f t="shared" si="14"/>
        <v>1.8482864844050828</v>
      </c>
      <c r="AB22" s="180">
        <f t="shared" si="15"/>
        <v>8.4231817558083441E-2</v>
      </c>
      <c r="AC22" s="180"/>
      <c r="AD22" s="180">
        <f t="shared" si="16"/>
        <v>1.217557251908397</v>
      </c>
      <c r="AE22" s="564">
        <f t="shared" si="17"/>
        <v>162.77982817816346</v>
      </c>
      <c r="AF22" s="547">
        <f t="shared" si="18"/>
        <v>3.6552440597785188E-2</v>
      </c>
      <c r="AH22" s="180">
        <f t="shared" si="19"/>
        <v>0.19396076722053671</v>
      </c>
      <c r="AI22" s="180">
        <f t="shared" si="20"/>
        <v>0.28999999999999998</v>
      </c>
      <c r="AJ22" s="180">
        <f t="shared" si="21"/>
        <v>1.0930170446732363</v>
      </c>
      <c r="AL22" s="564">
        <f t="shared" si="22"/>
        <v>17</v>
      </c>
      <c r="AM22" s="473">
        <f t="shared" si="23"/>
        <v>162.77982817816346</v>
      </c>
      <c r="AO22">
        <f t="shared" si="47"/>
        <v>17</v>
      </c>
      <c r="AP22" s="473">
        <f t="shared" si="24"/>
        <v>162.77982817816346</v>
      </c>
      <c r="AQ22" s="473"/>
      <c r="AR22" s="5">
        <f t="shared" si="48"/>
        <v>6.1432673273588563</v>
      </c>
      <c r="AS22" s="5">
        <f t="shared" si="25"/>
        <v>0.6645833333333333</v>
      </c>
      <c r="AT22" s="5">
        <f t="shared" si="49"/>
        <v>5.4786839940255234</v>
      </c>
      <c r="AU22" s="180">
        <f t="shared" si="50"/>
        <v>0.10818076081007112</v>
      </c>
      <c r="AW22" s="5">
        <f t="shared" si="26"/>
        <v>0.17933201058201056</v>
      </c>
      <c r="AX22" s="5">
        <f t="shared" si="27"/>
        <v>7.5319444444444439E-2</v>
      </c>
      <c r="AY22" s="5">
        <f t="shared" si="28"/>
        <v>2.2637617891980457E-2</v>
      </c>
      <c r="AZ22" s="5"/>
      <c r="BA22" s="180">
        <f t="shared" si="51"/>
        <v>5.5069658869856153E-2</v>
      </c>
      <c r="BB22" s="180">
        <f t="shared" si="29"/>
        <v>9.3533401995745349E-2</v>
      </c>
      <c r="BC22" s="180">
        <f t="shared" si="30"/>
        <v>9.5650863867624059E-2</v>
      </c>
      <c r="BD22" s="180"/>
      <c r="BE22" s="547">
        <f t="shared" si="31"/>
        <v>1.0614335648148141E-3</v>
      </c>
      <c r="BF22" s="547">
        <f t="shared" si="32"/>
        <v>1.7513481713688606E-2</v>
      </c>
      <c r="BG22" s="547">
        <f t="shared" si="33"/>
        <v>2.0347478522270432E-3</v>
      </c>
      <c r="BH22" s="547">
        <f t="shared" si="34"/>
        <v>1.2882977539905593E-2</v>
      </c>
      <c r="BI22">
        <f t="shared" si="35"/>
        <v>6.96E-3</v>
      </c>
      <c r="BJ22" s="473">
        <f t="shared" si="52"/>
        <v>40.45264067063605</v>
      </c>
      <c r="BK22" s="180">
        <f t="shared" si="36"/>
        <v>5.9500000000000004E-3</v>
      </c>
      <c r="BL22" s="180">
        <f t="shared" si="37"/>
        <v>5.9500000000000004E-3</v>
      </c>
      <c r="BM22" s="547"/>
      <c r="BO22" s="473">
        <f t="shared" si="53"/>
        <v>11.9</v>
      </c>
      <c r="BP22" s="547">
        <f t="shared" si="38"/>
        <v>3.3359340608465595E-4</v>
      </c>
      <c r="BQ22" s="547">
        <f t="shared" si="54"/>
        <v>3.0619740511141953E-4</v>
      </c>
      <c r="BR22" s="547">
        <f t="shared" si="39"/>
        <v>2.7447263275868247E-4</v>
      </c>
      <c r="BS22" s="547">
        <f t="shared" si="40"/>
        <v>7.6553748915555986E-4</v>
      </c>
      <c r="BT22" s="657">
        <f t="shared" si="41"/>
        <v>1.3689783549783547E-2</v>
      </c>
      <c r="BU22" s="473">
        <f t="shared" si="55"/>
        <v>15.369584482893865</v>
      </c>
      <c r="BV22" s="180">
        <f t="shared" si="56"/>
        <v>6.7722225153529922E-2</v>
      </c>
      <c r="BW22" s="5">
        <f t="shared" si="57"/>
        <v>0.36209999999999998</v>
      </c>
      <c r="BX22" s="180">
        <f t="shared" si="58"/>
        <v>0.8424413136632477</v>
      </c>
      <c r="BY22" s="5">
        <f t="shared" si="59"/>
        <v>84.244131366324766</v>
      </c>
      <c r="BZ22">
        <f t="shared" si="60"/>
        <v>17</v>
      </c>
      <c r="CB22" s="582">
        <f t="shared" si="42"/>
        <v>-50</v>
      </c>
      <c r="CC22">
        <f t="shared" si="43"/>
        <v>-50</v>
      </c>
    </row>
    <row r="23" spans="5:81" x14ac:dyDescent="0.25">
      <c r="E23" s="177">
        <v>18</v>
      </c>
      <c r="F23" s="224">
        <f t="shared" si="61"/>
        <v>1.7999999999999999E-2</v>
      </c>
      <c r="G23" s="224">
        <f t="shared" si="44"/>
        <v>1.7999999999999999E-2</v>
      </c>
      <c r="H23" s="224">
        <f t="shared" si="0"/>
        <v>0.11339999999999999</v>
      </c>
      <c r="I23" s="224">
        <f t="shared" si="62"/>
        <v>0.26999999999999996</v>
      </c>
      <c r="J23" s="560">
        <f t="shared" si="1"/>
        <v>24</v>
      </c>
      <c r="K23" s="455">
        <f t="shared" si="2"/>
        <v>13.1</v>
      </c>
      <c r="L23" s="455">
        <f t="shared" si="3"/>
        <v>37.1</v>
      </c>
      <c r="M23" s="455"/>
      <c r="N23" s="224">
        <f t="shared" si="4"/>
        <v>0.35309973045822102</v>
      </c>
      <c r="O23" s="179">
        <f t="shared" si="45"/>
        <v>1.6354982726547966</v>
      </c>
      <c r="P23" s="179">
        <f t="shared" si="5"/>
        <v>3.8940435063209446</v>
      </c>
      <c r="Q23" s="224">
        <f t="shared" si="6"/>
        <v>0.25960290042139628</v>
      </c>
      <c r="R23" s="224">
        <f t="shared" si="7"/>
        <v>0.10903321817698644</v>
      </c>
      <c r="S23" s="455">
        <f t="shared" si="8"/>
        <v>6.3</v>
      </c>
      <c r="T23" s="224">
        <f t="shared" si="9"/>
        <v>0.10053816793893128</v>
      </c>
      <c r="U23" s="224">
        <f t="shared" si="10"/>
        <v>0.23039996819338421</v>
      </c>
      <c r="V23" s="224">
        <f t="shared" si="11"/>
        <v>0.42210681195734512</v>
      </c>
      <c r="W23" s="204">
        <f t="shared" si="12"/>
        <v>350</v>
      </c>
      <c r="X23" s="455">
        <f t="shared" si="46"/>
        <v>350</v>
      </c>
      <c r="Z23" s="224">
        <f t="shared" si="13"/>
        <v>0.44022823537648331</v>
      </c>
      <c r="AA23" s="180">
        <f t="shared" si="14"/>
        <v>1.8482864844050828</v>
      </c>
      <c r="AB23" s="180">
        <f t="shared" si="15"/>
        <v>8.4231817558083441E-2</v>
      </c>
      <c r="AC23" s="180"/>
      <c r="AD23" s="180">
        <f t="shared" si="16"/>
        <v>1.217557251908397</v>
      </c>
      <c r="AE23" s="564">
        <f t="shared" si="17"/>
        <v>172.35511218864366</v>
      </c>
      <c r="AF23" s="547">
        <f t="shared" si="18"/>
        <v>3.6552440597785188E-2</v>
      </c>
      <c r="AH23" s="180">
        <f t="shared" si="19"/>
        <v>0.19958398290886528</v>
      </c>
      <c r="AI23" s="180">
        <f t="shared" si="20"/>
        <v>0.28999999999999998</v>
      </c>
      <c r="AJ23" s="180">
        <f t="shared" si="21"/>
        <v>1.0984886355363679</v>
      </c>
      <c r="AL23" s="564">
        <f t="shared" si="22"/>
        <v>18</v>
      </c>
      <c r="AM23" s="473">
        <f t="shared" si="23"/>
        <v>172.35511218864366</v>
      </c>
      <c r="AO23">
        <f t="shared" si="47"/>
        <v>18</v>
      </c>
      <c r="AP23" s="473">
        <f t="shared" si="24"/>
        <v>172.35511218864366</v>
      </c>
      <c r="AQ23" s="473"/>
      <c r="AR23" s="5">
        <f t="shared" si="48"/>
        <v>5.8019746980611417</v>
      </c>
      <c r="AS23" s="5">
        <f t="shared" si="25"/>
        <v>0.6645833333333333</v>
      </c>
      <c r="AT23" s="5">
        <f t="shared" si="49"/>
        <v>5.137391364727808</v>
      </c>
      <c r="AU23" s="180">
        <f t="shared" si="50"/>
        <v>0.11454433497536942</v>
      </c>
      <c r="AW23" s="5">
        <f t="shared" si="26"/>
        <v>0.18988095238095237</v>
      </c>
      <c r="AX23" s="5">
        <f t="shared" si="27"/>
        <v>7.9750000000000001E-2</v>
      </c>
      <c r="AY23" s="5">
        <f t="shared" si="28"/>
        <v>2.247608722068415E-2</v>
      </c>
      <c r="AZ23" s="5"/>
      <c r="BA23" s="180">
        <f t="shared" si="51"/>
        <v>5.6666211482765655E-2</v>
      </c>
      <c r="BB23" s="180">
        <f t="shared" si="29"/>
        <v>9.3199100887661993E-2</v>
      </c>
      <c r="BC23" s="180">
        <f t="shared" si="30"/>
        <v>9.530899466263637E-2</v>
      </c>
      <c r="BD23" s="180"/>
      <c r="BE23" s="547">
        <f t="shared" si="31"/>
        <v>1.1238708333333328E-3</v>
      </c>
      <c r="BF23" s="547">
        <f t="shared" si="32"/>
        <v>1.8543686520376173E-2</v>
      </c>
      <c r="BG23" s="547">
        <f t="shared" si="33"/>
        <v>2.1544389023580453E-3</v>
      </c>
      <c r="BH23" s="547">
        <f t="shared" si="34"/>
        <v>1.3640799748135334E-2</v>
      </c>
      <c r="BI23">
        <f t="shared" si="35"/>
        <v>6.96E-3</v>
      </c>
      <c r="BJ23" s="473">
        <f t="shared" si="52"/>
        <v>42.42279600420288</v>
      </c>
      <c r="BK23" s="180">
        <f t="shared" si="36"/>
        <v>6.2999999999999992E-3</v>
      </c>
      <c r="BL23" s="180">
        <f t="shared" si="37"/>
        <v>6.2999999999999992E-3</v>
      </c>
      <c r="BM23" s="547"/>
      <c r="BO23" s="473">
        <f t="shared" si="53"/>
        <v>12.599999999999998</v>
      </c>
      <c r="BP23" s="547">
        <f t="shared" si="38"/>
        <v>3.5321654761904744E-4</v>
      </c>
      <c r="BQ23" s="547">
        <f t="shared" si="54"/>
        <v>3.0401253421940096E-4</v>
      </c>
      <c r="BR23" s="547">
        <f t="shared" si="39"/>
        <v>2.7251413390807345E-4</v>
      </c>
      <c r="BS23" s="547">
        <f t="shared" si="40"/>
        <v>8.8313159562867041E-4</v>
      </c>
      <c r="BT23" s="657">
        <f t="shared" si="41"/>
        <v>1.4495064935064934E-2</v>
      </c>
      <c r="BU23" s="473">
        <f t="shared" si="55"/>
        <v>16.307939746440127</v>
      </c>
      <c r="BV23" s="180">
        <f t="shared" si="56"/>
        <v>7.1330735750643012E-2</v>
      </c>
      <c r="BW23" s="5">
        <f t="shared" si="57"/>
        <v>0.38339999999999996</v>
      </c>
      <c r="BX23" s="180">
        <f t="shared" si="58"/>
        <v>0.84313632190950449</v>
      </c>
      <c r="BY23" s="5">
        <f t="shared" si="59"/>
        <v>84.313632190950443</v>
      </c>
      <c r="BZ23">
        <f t="shared" si="60"/>
        <v>17.999999999999996</v>
      </c>
      <c r="CB23" s="582">
        <f t="shared" si="42"/>
        <v>-50</v>
      </c>
      <c r="CC23">
        <f t="shared" si="43"/>
        <v>-50</v>
      </c>
    </row>
    <row r="24" spans="5:81" x14ac:dyDescent="0.25">
      <c r="E24" s="177">
        <v>19</v>
      </c>
      <c r="F24" s="224">
        <f t="shared" si="61"/>
        <v>1.9000000000000003E-2</v>
      </c>
      <c r="G24" s="224">
        <f t="shared" si="44"/>
        <v>1.9000000000000003E-2</v>
      </c>
      <c r="H24" s="224">
        <f t="shared" si="0"/>
        <v>0.11970000000000001</v>
      </c>
      <c r="I24" s="224">
        <f t="shared" si="62"/>
        <v>0.28500000000000003</v>
      </c>
      <c r="J24" s="560">
        <f t="shared" si="1"/>
        <v>24</v>
      </c>
      <c r="K24" s="455">
        <f t="shared" si="2"/>
        <v>13.1</v>
      </c>
      <c r="L24" s="455">
        <f t="shared" si="3"/>
        <v>37.1</v>
      </c>
      <c r="M24" s="455"/>
      <c r="N24" s="224">
        <f t="shared" si="4"/>
        <v>0.35309973045822102</v>
      </c>
      <c r="O24" s="179">
        <f t="shared" si="45"/>
        <v>1.6354982726547966</v>
      </c>
      <c r="P24" s="179">
        <f t="shared" si="5"/>
        <v>3.8940435063209446</v>
      </c>
      <c r="Q24" s="224">
        <f t="shared" si="6"/>
        <v>0.25960290042139628</v>
      </c>
      <c r="R24" s="224">
        <f t="shared" si="7"/>
        <v>0.10903321817698644</v>
      </c>
      <c r="S24" s="455">
        <f t="shared" si="8"/>
        <v>6.3</v>
      </c>
      <c r="T24" s="224">
        <f t="shared" si="9"/>
        <v>0.10612362171331638</v>
      </c>
      <c r="U24" s="224">
        <f t="shared" si="10"/>
        <v>0.24319996642635006</v>
      </c>
      <c r="V24" s="224">
        <f t="shared" si="11"/>
        <v>0.44555719039941999</v>
      </c>
      <c r="W24" s="204">
        <f t="shared" si="12"/>
        <v>350</v>
      </c>
      <c r="X24" s="455">
        <f t="shared" si="46"/>
        <v>350</v>
      </c>
      <c r="Z24" s="224">
        <f t="shared" si="13"/>
        <v>0.44022823537648331</v>
      </c>
      <c r="AA24" s="180">
        <f t="shared" si="14"/>
        <v>1.8482864844050828</v>
      </c>
      <c r="AB24" s="180">
        <f t="shared" si="15"/>
        <v>8.4231817558083441E-2</v>
      </c>
      <c r="AC24" s="180"/>
      <c r="AD24" s="180">
        <f t="shared" si="16"/>
        <v>1.217557251908397</v>
      </c>
      <c r="AE24" s="564">
        <f t="shared" si="17"/>
        <v>181.93039619912389</v>
      </c>
      <c r="AF24" s="547">
        <f t="shared" si="18"/>
        <v>3.6552440597785188E-2</v>
      </c>
      <c r="AH24" s="180">
        <f t="shared" si="19"/>
        <v>0.20505304983528838</v>
      </c>
      <c r="AI24" s="180">
        <f t="shared" si="20"/>
        <v>0.28999999999999998</v>
      </c>
      <c r="AJ24" s="180">
        <f t="shared" si="21"/>
        <v>1.1039602263994994</v>
      </c>
      <c r="AL24" s="564">
        <f t="shared" si="22"/>
        <v>19.000000000000004</v>
      </c>
      <c r="AM24" s="473">
        <f t="shared" si="23"/>
        <v>181.93039619912389</v>
      </c>
      <c r="AO24">
        <f t="shared" si="47"/>
        <v>19.000000000000004</v>
      </c>
      <c r="AP24" s="473">
        <f t="shared" si="24"/>
        <v>181.93039619912389</v>
      </c>
      <c r="AQ24" s="473"/>
      <c r="AR24" s="5">
        <f t="shared" si="48"/>
        <v>5.4966076086895024</v>
      </c>
      <c r="AS24" s="5">
        <f t="shared" si="25"/>
        <v>0.6645833333333333</v>
      </c>
      <c r="AT24" s="5">
        <f t="shared" si="49"/>
        <v>4.8320242753561686</v>
      </c>
      <c r="AU24" s="180">
        <f t="shared" si="50"/>
        <v>0.12090790914066774</v>
      </c>
      <c r="AW24" s="5">
        <f t="shared" si="26"/>
        <v>0.20042989417989418</v>
      </c>
      <c r="AX24" s="5">
        <f t="shared" si="27"/>
        <v>8.4180555555555564E-2</v>
      </c>
      <c r="AY24" s="5">
        <f t="shared" si="28"/>
        <v>2.2314556549387861E-2</v>
      </c>
      <c r="AZ24" s="5"/>
      <c r="BA24" s="180">
        <f t="shared" si="51"/>
        <v>5.8218997926593671E-2</v>
      </c>
      <c r="BB24" s="180">
        <f t="shared" si="29"/>
        <v>9.2863596331606124E-2</v>
      </c>
      <c r="BC24" s="180">
        <f t="shared" si="30"/>
        <v>9.4965894765342715E-2</v>
      </c>
      <c r="BD24" s="180"/>
      <c r="BE24" s="547">
        <f t="shared" si="31"/>
        <v>1.1863081018518512E-3</v>
      </c>
      <c r="BF24" s="547">
        <f t="shared" si="32"/>
        <v>1.9573891327063744E-2</v>
      </c>
      <c r="BG24" s="547">
        <f t="shared" si="33"/>
        <v>2.2741299524890487E-3</v>
      </c>
      <c r="BH24" s="547">
        <f t="shared" si="34"/>
        <v>1.4398621956365078E-2</v>
      </c>
      <c r="BI24">
        <f t="shared" si="35"/>
        <v>6.96E-3</v>
      </c>
      <c r="BJ24" s="473">
        <f t="shared" si="52"/>
        <v>44.392951337769723</v>
      </c>
      <c r="BK24" s="180">
        <f t="shared" si="36"/>
        <v>6.6500000000000005E-3</v>
      </c>
      <c r="BL24" s="180">
        <f t="shared" si="37"/>
        <v>6.6500000000000005E-3</v>
      </c>
      <c r="BM24" s="547"/>
      <c r="BO24" s="473">
        <f t="shared" si="53"/>
        <v>13.3</v>
      </c>
      <c r="BP24" s="547">
        <f t="shared" si="38"/>
        <v>3.7283968915343899E-4</v>
      </c>
      <c r="BQ24" s="547">
        <f t="shared" si="54"/>
        <v>3.0182766332738223E-4</v>
      </c>
      <c r="BR24" s="547">
        <f t="shared" si="39"/>
        <v>2.7055563505746437E-4</v>
      </c>
      <c r="BS24" s="547">
        <f t="shared" si="40"/>
        <v>1.0109464751107688E-3</v>
      </c>
      <c r="BT24" s="657">
        <f t="shared" si="41"/>
        <v>1.5300346320346322E-2</v>
      </c>
      <c r="BU24" s="473">
        <f t="shared" si="55"/>
        <v>17.256515782995375</v>
      </c>
      <c r="BV24" s="180">
        <f t="shared" si="56"/>
        <v>7.4949467120765098E-2</v>
      </c>
      <c r="BW24" s="5">
        <f t="shared" si="57"/>
        <v>0.40470000000000006</v>
      </c>
      <c r="BX24" s="180">
        <f t="shared" si="58"/>
        <v>0.8437411646245101</v>
      </c>
      <c r="BY24" s="5">
        <f t="shared" si="59"/>
        <v>84.374116462451013</v>
      </c>
      <c r="BZ24">
        <f t="shared" si="60"/>
        <v>19.000000000000004</v>
      </c>
      <c r="CB24" s="582">
        <f t="shared" si="42"/>
        <v>-50</v>
      </c>
      <c r="CC24">
        <f t="shared" si="43"/>
        <v>-50</v>
      </c>
    </row>
    <row r="25" spans="5:81" x14ac:dyDescent="0.25">
      <c r="E25" s="177">
        <v>20</v>
      </c>
      <c r="F25" s="224">
        <f t="shared" si="61"/>
        <v>2.0000000000000004E-2</v>
      </c>
      <c r="G25" s="224">
        <f t="shared" si="44"/>
        <v>2.0000000000000004E-2</v>
      </c>
      <c r="H25" s="224">
        <f t="shared" si="0"/>
        <v>0.12600000000000003</v>
      </c>
      <c r="I25" s="224">
        <f t="shared" si="62"/>
        <v>0.30000000000000004</v>
      </c>
      <c r="J25" s="560">
        <f t="shared" si="1"/>
        <v>24</v>
      </c>
      <c r="K25" s="455">
        <f t="shared" si="2"/>
        <v>13.1</v>
      </c>
      <c r="L25" s="455">
        <f t="shared" si="3"/>
        <v>37.1</v>
      </c>
      <c r="M25" s="455"/>
      <c r="N25" s="224">
        <f t="shared" si="4"/>
        <v>0.35309973045822102</v>
      </c>
      <c r="O25" s="179">
        <f t="shared" si="45"/>
        <v>1.6354982726547966</v>
      </c>
      <c r="P25" s="179">
        <f t="shared" si="5"/>
        <v>3.8940435063209446</v>
      </c>
      <c r="Q25" s="224">
        <f t="shared" si="6"/>
        <v>0.25960290042139628</v>
      </c>
      <c r="R25" s="224">
        <f t="shared" si="7"/>
        <v>0.10903321817698644</v>
      </c>
      <c r="S25" s="455">
        <f t="shared" si="8"/>
        <v>6.3</v>
      </c>
      <c r="T25" s="224">
        <f t="shared" si="9"/>
        <v>0.11170907548770145</v>
      </c>
      <c r="U25" s="224">
        <f t="shared" si="10"/>
        <v>0.25599996465931585</v>
      </c>
      <c r="V25" s="224">
        <f t="shared" si="11"/>
        <v>0.46900756884149469</v>
      </c>
      <c r="W25" s="204">
        <f t="shared" si="12"/>
        <v>350</v>
      </c>
      <c r="X25" s="455">
        <f t="shared" si="46"/>
        <v>350</v>
      </c>
      <c r="Z25" s="224">
        <f t="shared" si="13"/>
        <v>0.44022823537648331</v>
      </c>
      <c r="AA25" s="180">
        <f t="shared" si="14"/>
        <v>1.8482864844050828</v>
      </c>
      <c r="AB25" s="180">
        <f t="shared" si="15"/>
        <v>8.4231817558083441E-2</v>
      </c>
      <c r="AC25" s="180"/>
      <c r="AD25" s="180">
        <f t="shared" si="16"/>
        <v>1.217557251908397</v>
      </c>
      <c r="AE25" s="564">
        <f t="shared" si="17"/>
        <v>191.50568020960412</v>
      </c>
      <c r="AF25" s="547">
        <f t="shared" si="18"/>
        <v>3.6552440597785188E-2</v>
      </c>
      <c r="AH25" s="180">
        <f t="shared" si="19"/>
        <v>0.21037999016004413</v>
      </c>
      <c r="AI25" s="180">
        <f t="shared" si="20"/>
        <v>0.28999999999999998</v>
      </c>
      <c r="AJ25" s="180">
        <f t="shared" si="21"/>
        <v>1.109431817262631</v>
      </c>
      <c r="AL25" s="564">
        <f t="shared" si="22"/>
        <v>20.000000000000004</v>
      </c>
      <c r="AM25" s="473">
        <f t="shared" si="23"/>
        <v>191.50568020960412</v>
      </c>
      <c r="AO25">
        <f t="shared" si="47"/>
        <v>20.000000000000004</v>
      </c>
      <c r="AP25" s="473">
        <f t="shared" si="24"/>
        <v>191.50568020960412</v>
      </c>
      <c r="AQ25" s="473"/>
      <c r="AR25" s="5">
        <f t="shared" si="48"/>
        <v>5.2217772282550268</v>
      </c>
      <c r="AS25" s="5">
        <f t="shared" si="25"/>
        <v>0.6645833333333333</v>
      </c>
      <c r="AT25" s="5">
        <f t="shared" si="49"/>
        <v>4.5571938949216939</v>
      </c>
      <c r="AU25" s="180">
        <f t="shared" si="50"/>
        <v>0.12727148330596605</v>
      </c>
      <c r="AW25" s="5">
        <f t="shared" si="26"/>
        <v>0.21097883597883599</v>
      </c>
      <c r="AX25" s="5">
        <f t="shared" si="27"/>
        <v>8.8611111111111127E-2</v>
      </c>
      <c r="AY25" s="5">
        <f t="shared" si="28"/>
        <v>2.2153025878091571E-2</v>
      </c>
      <c r="AZ25" s="5"/>
      <c r="BA25" s="180">
        <f t="shared" si="51"/>
        <v>5.9731431552775584E-2</v>
      </c>
      <c r="BB25" s="180">
        <f t="shared" si="29"/>
        <v>9.2526875236389472E-2</v>
      </c>
      <c r="BC25" s="180">
        <f t="shared" si="30"/>
        <v>9.4621550788189068E-2</v>
      </c>
      <c r="BD25" s="180"/>
      <c r="BE25" s="547">
        <f t="shared" si="31"/>
        <v>1.2487453703703701E-3</v>
      </c>
      <c r="BF25" s="547">
        <f t="shared" si="32"/>
        <v>2.0604096133751307E-2</v>
      </c>
      <c r="BG25" s="547">
        <f t="shared" si="33"/>
        <v>2.3938210026200513E-3</v>
      </c>
      <c r="BH25" s="547">
        <f t="shared" si="34"/>
        <v>1.515644416459482E-2</v>
      </c>
      <c r="BI25">
        <f t="shared" si="35"/>
        <v>6.96E-3</v>
      </c>
      <c r="BJ25" s="473">
        <f t="shared" si="52"/>
        <v>46.363106671336553</v>
      </c>
      <c r="BK25" s="180">
        <f t="shared" si="36"/>
        <v>7.000000000000001E-3</v>
      </c>
      <c r="BL25" s="180">
        <f t="shared" si="37"/>
        <v>7.000000000000001E-3</v>
      </c>
      <c r="BM25" s="547"/>
      <c r="BO25" s="473">
        <f t="shared" si="53"/>
        <v>14.000000000000002</v>
      </c>
      <c r="BP25" s="547">
        <f t="shared" si="38"/>
        <v>3.9246283068783059E-4</v>
      </c>
      <c r="BQ25" s="547">
        <f t="shared" si="54"/>
        <v>2.9964279243536345E-4</v>
      </c>
      <c r="BR25" s="547">
        <f t="shared" si="39"/>
        <v>2.6859713620685529E-4</v>
      </c>
      <c r="BS25" s="547">
        <f t="shared" si="40"/>
        <v>1.1492622698952243E-3</v>
      </c>
      <c r="BT25" s="657">
        <f t="shared" si="41"/>
        <v>1.6105627705627706E-2</v>
      </c>
      <c r="BU25" s="473">
        <f t="shared" si="55"/>
        <v>18.215592734852979</v>
      </c>
      <c r="BV25" s="180">
        <f t="shared" si="56"/>
        <v>7.8578699406189528E-2</v>
      </c>
      <c r="BW25" s="5">
        <f t="shared" si="57"/>
        <v>0.42600000000000005</v>
      </c>
      <c r="BX25" s="180">
        <f t="shared" si="58"/>
        <v>0.84426869485639322</v>
      </c>
      <c r="BY25" s="5">
        <f t="shared" si="59"/>
        <v>84.426869485639315</v>
      </c>
      <c r="BZ25">
        <f t="shared" si="60"/>
        <v>20.000000000000004</v>
      </c>
      <c r="CB25" s="582">
        <f t="shared" si="42"/>
        <v>-50</v>
      </c>
      <c r="CC25">
        <f t="shared" si="43"/>
        <v>-50</v>
      </c>
    </row>
    <row r="26" spans="5:81" x14ac:dyDescent="0.25">
      <c r="E26" s="177">
        <v>21</v>
      </c>
      <c r="F26" s="224">
        <f t="shared" si="61"/>
        <v>2.1000000000000001E-2</v>
      </c>
      <c r="G26" s="224">
        <f t="shared" si="44"/>
        <v>2.1000000000000001E-2</v>
      </c>
      <c r="H26" s="224">
        <f t="shared" si="0"/>
        <v>0.1323</v>
      </c>
      <c r="I26" s="224">
        <f t="shared" si="62"/>
        <v>0.315</v>
      </c>
      <c r="J26" s="560">
        <f t="shared" si="1"/>
        <v>24</v>
      </c>
      <c r="K26" s="455">
        <f t="shared" si="2"/>
        <v>13.1</v>
      </c>
      <c r="L26" s="455">
        <f t="shared" si="3"/>
        <v>37.1</v>
      </c>
      <c r="M26" s="455"/>
      <c r="N26" s="224">
        <f t="shared" si="4"/>
        <v>0.35309973045822102</v>
      </c>
      <c r="O26" s="179">
        <f t="shared" si="45"/>
        <v>1.6354982726547966</v>
      </c>
      <c r="P26" s="179">
        <f t="shared" si="5"/>
        <v>3.8940435063209446</v>
      </c>
      <c r="Q26" s="224">
        <f t="shared" si="6"/>
        <v>0.25960290042139628</v>
      </c>
      <c r="R26" s="224">
        <f t="shared" si="7"/>
        <v>0.10903321817698644</v>
      </c>
      <c r="S26" s="455">
        <f t="shared" si="8"/>
        <v>6.3</v>
      </c>
      <c r="T26" s="224">
        <f t="shared" si="9"/>
        <v>0.11729452926208651</v>
      </c>
      <c r="U26" s="224">
        <f t="shared" si="10"/>
        <v>0.26879996289228159</v>
      </c>
      <c r="V26" s="224">
        <f t="shared" si="11"/>
        <v>0.49245794728356934</v>
      </c>
      <c r="W26" s="204">
        <f t="shared" si="12"/>
        <v>350</v>
      </c>
      <c r="X26" s="455">
        <f t="shared" si="46"/>
        <v>350</v>
      </c>
      <c r="Z26" s="224">
        <f t="shared" si="13"/>
        <v>0.44022823537648331</v>
      </c>
      <c r="AA26" s="180">
        <f t="shared" si="14"/>
        <v>1.8482864844050828</v>
      </c>
      <c r="AB26" s="180">
        <f t="shared" si="15"/>
        <v>8.4231817558083441E-2</v>
      </c>
      <c r="AC26" s="180"/>
      <c r="AD26" s="180">
        <f t="shared" si="16"/>
        <v>1.217557251908397</v>
      </c>
      <c r="AE26" s="564">
        <f t="shared" si="17"/>
        <v>201.08096422008427</v>
      </c>
      <c r="AF26" s="547">
        <f t="shared" si="18"/>
        <v>3.6552440597785188E-2</v>
      </c>
      <c r="AH26" s="180">
        <f t="shared" si="19"/>
        <v>0.21557534013130369</v>
      </c>
      <c r="AI26" s="180">
        <f t="shared" si="20"/>
        <v>0.28999999999999998</v>
      </c>
      <c r="AJ26" s="180">
        <f t="shared" si="21"/>
        <v>1.1149034081257625</v>
      </c>
      <c r="AL26" s="564">
        <f t="shared" si="22"/>
        <v>21</v>
      </c>
      <c r="AM26" s="473">
        <f t="shared" si="23"/>
        <v>201.08096422008427</v>
      </c>
      <c r="AO26">
        <f t="shared" si="47"/>
        <v>21</v>
      </c>
      <c r="AP26" s="473">
        <f t="shared" si="24"/>
        <v>201.08096422008427</v>
      </c>
      <c r="AQ26" s="473"/>
      <c r="AR26" s="5">
        <f t="shared" si="48"/>
        <v>4.9731211697666922</v>
      </c>
      <c r="AS26" s="5">
        <f t="shared" si="25"/>
        <v>0.6645833333333333</v>
      </c>
      <c r="AT26" s="5">
        <f t="shared" si="49"/>
        <v>4.3085378364333593</v>
      </c>
      <c r="AU26" s="180">
        <f t="shared" si="50"/>
        <v>0.13363505747126436</v>
      </c>
      <c r="AW26" s="5">
        <f t="shared" si="26"/>
        <v>0.22152777777777777</v>
      </c>
      <c r="AX26" s="5">
        <f t="shared" si="27"/>
        <v>9.3041666666666661E-2</v>
      </c>
      <c r="AY26" s="5">
        <f t="shared" si="28"/>
        <v>2.1991495206795268E-2</v>
      </c>
      <c r="AZ26" s="5"/>
      <c r="BA26" s="180">
        <f t="shared" si="51"/>
        <v>6.1206503830157709E-2</v>
      </c>
      <c r="BB26" s="180">
        <f t="shared" si="29"/>
        <v>9.2188924271743578E-2</v>
      </c>
      <c r="BC26" s="180">
        <f t="shared" si="30"/>
        <v>9.4275949099128883E-2</v>
      </c>
      <c r="BD26" s="180"/>
      <c r="BE26" s="547">
        <f t="shared" si="31"/>
        <v>1.3111826388888886E-3</v>
      </c>
      <c r="BF26" s="547">
        <f t="shared" si="32"/>
        <v>2.1634300940438868E-2</v>
      </c>
      <c r="BG26" s="547">
        <f t="shared" si="33"/>
        <v>2.5135120527510534E-3</v>
      </c>
      <c r="BH26" s="547">
        <f t="shared" si="34"/>
        <v>1.5914266372824556E-2</v>
      </c>
      <c r="BI26">
        <f t="shared" si="35"/>
        <v>6.96E-3</v>
      </c>
      <c r="BJ26" s="473">
        <f t="shared" si="52"/>
        <v>48.333262004903361</v>
      </c>
      <c r="BK26" s="180">
        <f t="shared" si="36"/>
        <v>7.3499999999999998E-3</v>
      </c>
      <c r="BL26" s="180">
        <f t="shared" si="37"/>
        <v>7.3499999999999998E-3</v>
      </c>
      <c r="BM26" s="547"/>
      <c r="BO26" s="473">
        <f t="shared" si="53"/>
        <v>14.7</v>
      </c>
      <c r="BP26" s="547">
        <f t="shared" si="38"/>
        <v>4.1208597222222213E-4</v>
      </c>
      <c r="BQ26" s="547">
        <f t="shared" si="54"/>
        <v>2.9745792154334456E-4</v>
      </c>
      <c r="BR26" s="547">
        <f t="shared" si="39"/>
        <v>2.6663863735624615E-4</v>
      </c>
      <c r="BS26" s="547">
        <f t="shared" si="40"/>
        <v>1.2983518371212453E-3</v>
      </c>
      <c r="BT26" s="657">
        <f t="shared" si="41"/>
        <v>1.6910909090909088E-2</v>
      </c>
      <c r="BU26" s="473">
        <f t="shared" si="55"/>
        <v>19.185443459152147</v>
      </c>
      <c r="BV26" s="180">
        <f t="shared" si="56"/>
        <v>8.2218705464055519E-2</v>
      </c>
      <c r="BW26" s="5">
        <f t="shared" si="57"/>
        <v>0.44730000000000003</v>
      </c>
      <c r="BX26" s="180">
        <f t="shared" si="58"/>
        <v>0.84472936533563758</v>
      </c>
      <c r="BY26" s="5">
        <f t="shared" si="59"/>
        <v>84.472936533563754</v>
      </c>
      <c r="BZ26">
        <f t="shared" si="60"/>
        <v>21</v>
      </c>
      <c r="CB26" s="582">
        <f t="shared" si="42"/>
        <v>-50</v>
      </c>
      <c r="CC26">
        <f t="shared" si="43"/>
        <v>-50</v>
      </c>
    </row>
    <row r="27" spans="5:81" x14ac:dyDescent="0.25">
      <c r="E27" s="177">
        <v>22</v>
      </c>
      <c r="F27" s="224">
        <f t="shared" si="61"/>
        <v>2.2000000000000002E-2</v>
      </c>
      <c r="G27" s="224">
        <f t="shared" si="44"/>
        <v>2.2000000000000002E-2</v>
      </c>
      <c r="H27" s="224">
        <f t="shared" si="0"/>
        <v>0.1386</v>
      </c>
      <c r="I27" s="224">
        <f t="shared" si="62"/>
        <v>0.33</v>
      </c>
      <c r="J27" s="560">
        <f t="shared" si="1"/>
        <v>24</v>
      </c>
      <c r="K27" s="455">
        <f t="shared" si="2"/>
        <v>13.1</v>
      </c>
      <c r="L27" s="455">
        <f t="shared" si="3"/>
        <v>37.1</v>
      </c>
      <c r="M27" s="455"/>
      <c r="N27" s="224">
        <f t="shared" si="4"/>
        <v>0.35309973045822102</v>
      </c>
      <c r="O27" s="179">
        <f t="shared" si="45"/>
        <v>1.6354982726547966</v>
      </c>
      <c r="P27" s="179">
        <f t="shared" si="5"/>
        <v>3.8940435063209446</v>
      </c>
      <c r="Q27" s="224">
        <f t="shared" si="6"/>
        <v>0.25960290042139628</v>
      </c>
      <c r="R27" s="224">
        <f t="shared" si="7"/>
        <v>0.10903321817698644</v>
      </c>
      <c r="S27" s="455">
        <f t="shared" si="8"/>
        <v>6.3</v>
      </c>
      <c r="T27" s="224">
        <f t="shared" si="9"/>
        <v>0.12287998303647159</v>
      </c>
      <c r="U27" s="224">
        <f t="shared" si="10"/>
        <v>0.28159996112524738</v>
      </c>
      <c r="V27" s="224">
        <f t="shared" si="11"/>
        <v>0.51590832572564405</v>
      </c>
      <c r="W27" s="204">
        <f t="shared" si="12"/>
        <v>350</v>
      </c>
      <c r="X27" s="455">
        <f t="shared" si="46"/>
        <v>350</v>
      </c>
      <c r="Z27" s="224">
        <f t="shared" si="13"/>
        <v>0.44022823537648331</v>
      </c>
      <c r="AA27" s="180">
        <f t="shared" si="14"/>
        <v>1.8482864844050828</v>
      </c>
      <c r="AB27" s="180">
        <f t="shared" si="15"/>
        <v>8.4231817558083441E-2</v>
      </c>
      <c r="AC27" s="180"/>
      <c r="AD27" s="180">
        <f t="shared" si="16"/>
        <v>1.217557251908397</v>
      </c>
      <c r="AE27" s="564">
        <f t="shared" si="17"/>
        <v>210.65624823056447</v>
      </c>
      <c r="AF27" s="547">
        <f t="shared" si="18"/>
        <v>3.6552440597785188E-2</v>
      </c>
      <c r="AH27" s="180">
        <f t="shared" si="19"/>
        <v>0.22064839515780371</v>
      </c>
      <c r="AI27" s="180">
        <f t="shared" si="20"/>
        <v>0.28999999999999998</v>
      </c>
      <c r="AJ27" s="180">
        <f t="shared" si="21"/>
        <v>1.120374998988894</v>
      </c>
      <c r="AL27" s="564">
        <f t="shared" si="22"/>
        <v>22.000000000000004</v>
      </c>
      <c r="AM27" s="473">
        <f t="shared" si="23"/>
        <v>210.65624823056447</v>
      </c>
      <c r="AO27">
        <f t="shared" si="47"/>
        <v>22.000000000000004</v>
      </c>
      <c r="AP27" s="473">
        <f t="shared" si="24"/>
        <v>210.65624823056447</v>
      </c>
      <c r="AQ27" s="473"/>
      <c r="AR27" s="5">
        <f t="shared" si="48"/>
        <v>4.7470702075045708</v>
      </c>
      <c r="AS27" s="5">
        <f t="shared" si="25"/>
        <v>0.6645833333333333</v>
      </c>
      <c r="AT27" s="5">
        <f t="shared" si="49"/>
        <v>4.0824868741712379</v>
      </c>
      <c r="AU27" s="180">
        <f t="shared" si="50"/>
        <v>0.13999863163656262</v>
      </c>
      <c r="AW27" s="5">
        <f t="shared" si="26"/>
        <v>0.23207671957671958</v>
      </c>
      <c r="AX27" s="5">
        <f t="shared" si="27"/>
        <v>9.7472222222222238E-2</v>
      </c>
      <c r="AY27" s="5">
        <f t="shared" si="28"/>
        <v>2.1829964535498975E-2</v>
      </c>
      <c r="AZ27" s="5"/>
      <c r="BA27" s="180">
        <f t="shared" si="51"/>
        <v>6.2646853926420804E-2</v>
      </c>
      <c r="BB27" s="180">
        <f t="shared" si="29"/>
        <v>9.1849729862162152E-2</v>
      </c>
      <c r="BC27" s="180">
        <f t="shared" si="30"/>
        <v>9.3929075815325863E-2</v>
      </c>
      <c r="BD27" s="180"/>
      <c r="BE27" s="547">
        <f t="shared" si="31"/>
        <v>1.373619907407407E-3</v>
      </c>
      <c r="BF27" s="547">
        <f t="shared" si="32"/>
        <v>2.2664505747126435E-2</v>
      </c>
      <c r="BG27" s="547">
        <f t="shared" si="33"/>
        <v>2.6332031028820559E-3</v>
      </c>
      <c r="BH27" s="547">
        <f t="shared" si="34"/>
        <v>1.6672088581054297E-2</v>
      </c>
      <c r="BI27">
        <f t="shared" si="35"/>
        <v>6.96E-3</v>
      </c>
      <c r="BJ27" s="473">
        <f t="shared" si="52"/>
        <v>50.30341733847019</v>
      </c>
      <c r="BK27" s="180">
        <f t="shared" si="36"/>
        <v>7.7000000000000002E-3</v>
      </c>
      <c r="BL27" s="180">
        <f t="shared" si="37"/>
        <v>7.7000000000000002E-3</v>
      </c>
      <c r="BM27" s="547"/>
      <c r="BO27" s="473">
        <f t="shared" si="53"/>
        <v>15.4</v>
      </c>
      <c r="BP27" s="547">
        <f t="shared" si="38"/>
        <v>4.3170911375661368E-4</v>
      </c>
      <c r="BQ27" s="547">
        <f t="shared" si="54"/>
        <v>2.9527305065132567E-4</v>
      </c>
      <c r="BR27" s="547">
        <f t="shared" si="39"/>
        <v>2.6468013850563697E-4</v>
      </c>
      <c r="BS27" s="547">
        <f t="shared" si="40"/>
        <v>1.4584812894164114E-3</v>
      </c>
      <c r="BT27" s="657">
        <f t="shared" si="41"/>
        <v>1.7716190476190472E-2</v>
      </c>
      <c r="BU27" s="473">
        <f t="shared" si="55"/>
        <v>20.16633406852046</v>
      </c>
      <c r="BV27" s="180">
        <f t="shared" si="56"/>
        <v>8.5869751406990658E-2</v>
      </c>
      <c r="BW27" s="5">
        <f t="shared" si="57"/>
        <v>0.46860000000000002</v>
      </c>
      <c r="BX27" s="180">
        <f t="shared" si="58"/>
        <v>0.84513176563898651</v>
      </c>
      <c r="BY27" s="5">
        <f t="shared" si="59"/>
        <v>84.513176563898654</v>
      </c>
      <c r="BZ27">
        <f t="shared" si="60"/>
        <v>22</v>
      </c>
      <c r="CB27" s="582">
        <f t="shared" si="42"/>
        <v>-50</v>
      </c>
      <c r="CC27">
        <f t="shared" si="43"/>
        <v>-50</v>
      </c>
    </row>
    <row r="28" spans="5:81" x14ac:dyDescent="0.25">
      <c r="E28" s="177">
        <v>23</v>
      </c>
      <c r="F28" s="224">
        <f t="shared" si="61"/>
        <v>2.3000000000000003E-2</v>
      </c>
      <c r="G28" s="224">
        <f t="shared" si="44"/>
        <v>2.3000000000000003E-2</v>
      </c>
      <c r="H28" s="224">
        <f t="shared" si="0"/>
        <v>0.14490000000000003</v>
      </c>
      <c r="I28" s="224">
        <f t="shared" si="62"/>
        <v>0.34500000000000003</v>
      </c>
      <c r="J28" s="560">
        <f t="shared" si="1"/>
        <v>24</v>
      </c>
      <c r="K28" s="455">
        <f t="shared" si="2"/>
        <v>13.1</v>
      </c>
      <c r="L28" s="455">
        <f t="shared" si="3"/>
        <v>37.1</v>
      </c>
      <c r="M28" s="455"/>
      <c r="N28" s="224">
        <f t="shared" si="4"/>
        <v>0.35309973045822102</v>
      </c>
      <c r="O28" s="179">
        <f t="shared" si="45"/>
        <v>1.6354982726547966</v>
      </c>
      <c r="P28" s="179">
        <f t="shared" si="5"/>
        <v>3.8940435063209446</v>
      </c>
      <c r="Q28" s="224">
        <f t="shared" si="6"/>
        <v>0.25960290042139628</v>
      </c>
      <c r="R28" s="224">
        <f t="shared" si="7"/>
        <v>0.10903321817698644</v>
      </c>
      <c r="S28" s="455">
        <f t="shared" si="8"/>
        <v>6.3</v>
      </c>
      <c r="T28" s="224">
        <f t="shared" si="9"/>
        <v>0.12846543681085668</v>
      </c>
      <c r="U28" s="224">
        <f t="shared" si="10"/>
        <v>0.29439995935821317</v>
      </c>
      <c r="V28" s="224">
        <f t="shared" si="11"/>
        <v>0.53935870416771892</v>
      </c>
      <c r="W28" s="204">
        <f t="shared" si="12"/>
        <v>350</v>
      </c>
      <c r="X28" s="455">
        <f t="shared" si="46"/>
        <v>350</v>
      </c>
      <c r="Z28" s="224">
        <f t="shared" si="13"/>
        <v>0.44022823537648331</v>
      </c>
      <c r="AA28" s="180">
        <f t="shared" si="14"/>
        <v>1.8482864844050828</v>
      </c>
      <c r="AB28" s="180">
        <f t="shared" si="15"/>
        <v>8.4231817558083441E-2</v>
      </c>
      <c r="AC28" s="180"/>
      <c r="AD28" s="180">
        <f t="shared" si="16"/>
        <v>1.217557251908397</v>
      </c>
      <c r="AE28" s="564">
        <f t="shared" si="17"/>
        <v>220.23153224104468</v>
      </c>
      <c r="AF28" s="547">
        <f t="shared" si="18"/>
        <v>3.6552440597785188E-2</v>
      </c>
      <c r="AH28" s="180">
        <f t="shared" si="19"/>
        <v>0.2256074052390597</v>
      </c>
      <c r="AI28" s="180">
        <f t="shared" si="20"/>
        <v>0.28999999999999998</v>
      </c>
      <c r="AJ28" s="180">
        <f t="shared" si="21"/>
        <v>1.1258465898520256</v>
      </c>
      <c r="AL28" s="564">
        <f t="shared" si="22"/>
        <v>23.000000000000004</v>
      </c>
      <c r="AM28" s="473">
        <f t="shared" si="23"/>
        <v>220.23153224104468</v>
      </c>
      <c r="AO28">
        <f t="shared" si="47"/>
        <v>23.000000000000004</v>
      </c>
      <c r="AP28" s="473">
        <f t="shared" si="24"/>
        <v>220.23153224104468</v>
      </c>
      <c r="AQ28" s="473"/>
      <c r="AR28" s="5">
        <f t="shared" si="48"/>
        <v>4.5406758506565454</v>
      </c>
      <c r="AS28" s="5">
        <f t="shared" si="25"/>
        <v>0.6645833333333333</v>
      </c>
      <c r="AT28" s="5">
        <f t="shared" si="49"/>
        <v>3.8760925173232121</v>
      </c>
      <c r="AU28" s="180">
        <f t="shared" si="50"/>
        <v>0.14636220580186093</v>
      </c>
      <c r="AW28" s="5">
        <f t="shared" si="26"/>
        <v>0.24262566137566138</v>
      </c>
      <c r="AX28" s="5">
        <f t="shared" si="27"/>
        <v>0.10190277777777779</v>
      </c>
      <c r="AY28" s="5">
        <f t="shared" si="28"/>
        <v>2.1668433864202679E-2</v>
      </c>
      <c r="AZ28" s="5"/>
      <c r="BA28" s="180">
        <f t="shared" si="51"/>
        <v>6.4054824194946486E-2</v>
      </c>
      <c r="BB28" s="180">
        <f t="shared" si="29"/>
        <v>9.150927818053782E-2</v>
      </c>
      <c r="BC28" s="180">
        <f t="shared" si="30"/>
        <v>9.358091679664679E-2</v>
      </c>
      <c r="BD28" s="180"/>
      <c r="BE28" s="547">
        <f t="shared" si="31"/>
        <v>1.4360571759259254E-3</v>
      </c>
      <c r="BF28" s="547">
        <f t="shared" si="32"/>
        <v>2.3694710553813995E-2</v>
      </c>
      <c r="BG28" s="547">
        <f t="shared" si="33"/>
        <v>2.7528941530130585E-3</v>
      </c>
      <c r="BH28" s="547">
        <f t="shared" si="34"/>
        <v>1.7429910789284037E-2</v>
      </c>
      <c r="BI28">
        <f t="shared" si="35"/>
        <v>6.96E-3</v>
      </c>
      <c r="BJ28" s="473">
        <f t="shared" si="52"/>
        <v>52.27357267203702</v>
      </c>
      <c r="BK28" s="180">
        <f t="shared" si="36"/>
        <v>8.0499999999999999E-3</v>
      </c>
      <c r="BL28" s="180">
        <f t="shared" si="37"/>
        <v>8.0499999999999999E-3</v>
      </c>
      <c r="BM28" s="547"/>
      <c r="BO28" s="473">
        <f t="shared" si="53"/>
        <v>16.100000000000001</v>
      </c>
      <c r="BP28" s="547">
        <f t="shared" si="38"/>
        <v>4.5133225529100517E-4</v>
      </c>
      <c r="BQ28" s="547">
        <f t="shared" si="54"/>
        <v>2.9308817975930699E-4</v>
      </c>
      <c r="BR28" s="547">
        <f t="shared" si="39"/>
        <v>2.6272163965502783E-4</v>
      </c>
      <c r="BS28" s="547">
        <f t="shared" si="40"/>
        <v>1.6299104717803705E-3</v>
      </c>
      <c r="BT28" s="657">
        <f t="shared" si="41"/>
        <v>1.852147186147186E-2</v>
      </c>
      <c r="BU28" s="473">
        <f t="shared" si="55"/>
        <v>21.158524407957572</v>
      </c>
      <c r="BV28" s="180">
        <f t="shared" si="56"/>
        <v>8.9532097079994599E-2</v>
      </c>
      <c r="BW28" s="5">
        <f t="shared" si="57"/>
        <v>0.48990000000000006</v>
      </c>
      <c r="BX28" s="180">
        <f t="shared" si="58"/>
        <v>0.84548302116644036</v>
      </c>
      <c r="BY28" s="5">
        <f t="shared" si="59"/>
        <v>84.548302116644038</v>
      </c>
      <c r="BZ28">
        <f t="shared" si="60"/>
        <v>23</v>
      </c>
      <c r="CB28" s="582">
        <f t="shared" si="42"/>
        <v>-50</v>
      </c>
      <c r="CC28">
        <f t="shared" si="43"/>
        <v>-50</v>
      </c>
    </row>
    <row r="29" spans="5:81" x14ac:dyDescent="0.25">
      <c r="E29" s="177">
        <v>24</v>
      </c>
      <c r="F29" s="224">
        <f t="shared" si="61"/>
        <v>2.4E-2</v>
      </c>
      <c r="G29" s="224">
        <f t="shared" si="44"/>
        <v>2.4E-2</v>
      </c>
      <c r="H29" s="224">
        <f t="shared" si="0"/>
        <v>0.1512</v>
      </c>
      <c r="I29" s="224">
        <f t="shared" si="62"/>
        <v>0.36</v>
      </c>
      <c r="J29" s="560">
        <f t="shared" si="1"/>
        <v>24</v>
      </c>
      <c r="K29" s="455">
        <f t="shared" si="2"/>
        <v>13.1</v>
      </c>
      <c r="L29" s="455">
        <f t="shared" si="3"/>
        <v>37.1</v>
      </c>
      <c r="M29" s="455"/>
      <c r="N29" s="224">
        <f t="shared" si="4"/>
        <v>0.35309973045822102</v>
      </c>
      <c r="O29" s="179">
        <f t="shared" si="45"/>
        <v>1.6354982726547966</v>
      </c>
      <c r="P29" s="179">
        <f t="shared" si="5"/>
        <v>3.8940435063209446</v>
      </c>
      <c r="Q29" s="224">
        <f t="shared" si="6"/>
        <v>0.25960290042139628</v>
      </c>
      <c r="R29" s="224">
        <f t="shared" si="7"/>
        <v>0.10903321817698644</v>
      </c>
      <c r="S29" s="455">
        <f t="shared" si="8"/>
        <v>6.3</v>
      </c>
      <c r="T29" s="224">
        <f t="shared" si="9"/>
        <v>0.13405089058524172</v>
      </c>
      <c r="U29" s="224">
        <f t="shared" si="10"/>
        <v>0.30719995759117896</v>
      </c>
      <c r="V29" s="224">
        <f t="shared" si="11"/>
        <v>0.56280908260979357</v>
      </c>
      <c r="W29" s="204">
        <f t="shared" si="12"/>
        <v>350</v>
      </c>
      <c r="X29" s="455">
        <f t="shared" si="46"/>
        <v>350</v>
      </c>
      <c r="Z29" s="224">
        <f t="shared" si="13"/>
        <v>0.44022823537648331</v>
      </c>
      <c r="AA29" s="180">
        <f t="shared" si="14"/>
        <v>1.8482864844050828</v>
      </c>
      <c r="AB29" s="180">
        <f t="shared" si="15"/>
        <v>8.4231817558083441E-2</v>
      </c>
      <c r="AC29" s="180"/>
      <c r="AD29" s="180">
        <f t="shared" si="16"/>
        <v>1.217557251908397</v>
      </c>
      <c r="AE29" s="564">
        <f t="shared" si="17"/>
        <v>229.80681625152485</v>
      </c>
      <c r="AF29" s="547">
        <f t="shared" si="18"/>
        <v>3.6552440597785188E-2</v>
      </c>
      <c r="AH29" s="180">
        <f t="shared" si="19"/>
        <v>0.23045973251674209</v>
      </c>
      <c r="AI29" s="180">
        <f t="shared" si="20"/>
        <v>0.28999999999999998</v>
      </c>
      <c r="AJ29" s="180">
        <f t="shared" si="21"/>
        <v>1.1313181807151571</v>
      </c>
      <c r="AL29" s="564">
        <f t="shared" si="22"/>
        <v>24</v>
      </c>
      <c r="AM29" s="473">
        <f t="shared" si="23"/>
        <v>229.80681625152485</v>
      </c>
      <c r="AO29">
        <f t="shared" si="47"/>
        <v>24</v>
      </c>
      <c r="AP29" s="473">
        <f t="shared" si="24"/>
        <v>229.80681625152485</v>
      </c>
      <c r="AQ29" s="473"/>
      <c r="AR29" s="5">
        <f t="shared" si="48"/>
        <v>4.3514810235458574</v>
      </c>
      <c r="AS29" s="5">
        <f t="shared" si="25"/>
        <v>0.6645833333333333</v>
      </c>
      <c r="AT29" s="5">
        <f t="shared" si="49"/>
        <v>3.6868976902125241</v>
      </c>
      <c r="AU29" s="180">
        <f t="shared" si="50"/>
        <v>0.15272577996715919</v>
      </c>
      <c r="AW29" s="5">
        <f t="shared" si="26"/>
        <v>0.25317460317460316</v>
      </c>
      <c r="AX29" s="5">
        <f t="shared" si="27"/>
        <v>0.10633333333333332</v>
      </c>
      <c r="AY29" s="5">
        <f t="shared" si="28"/>
        <v>2.1506903192906386E-2</v>
      </c>
      <c r="AZ29" s="5"/>
      <c r="BA29" s="180">
        <f t="shared" si="51"/>
        <v>6.5432504907062025E-2</v>
      </c>
      <c r="BB29" s="180">
        <f t="shared" si="29"/>
        <v>9.1167555141585047E-2</v>
      </c>
      <c r="BC29" s="180">
        <f t="shared" si="30"/>
        <v>9.3231457638935533E-2</v>
      </c>
      <c r="BD29" s="180"/>
      <c r="BE29" s="547">
        <f t="shared" si="31"/>
        <v>1.4984944444444434E-3</v>
      </c>
      <c r="BF29" s="547">
        <f t="shared" si="32"/>
        <v>2.4724915360501559E-2</v>
      </c>
      <c r="BG29" s="547">
        <f t="shared" si="33"/>
        <v>2.8725852031440606E-3</v>
      </c>
      <c r="BH29" s="547">
        <f t="shared" si="34"/>
        <v>1.8187732997513778E-2</v>
      </c>
      <c r="BI29">
        <f t="shared" si="35"/>
        <v>6.96E-3</v>
      </c>
      <c r="BJ29" s="473">
        <f t="shared" si="52"/>
        <v>54.243728005603842</v>
      </c>
      <c r="BK29" s="180">
        <f t="shared" si="36"/>
        <v>8.3999999999999995E-3</v>
      </c>
      <c r="BL29" s="180">
        <f t="shared" si="37"/>
        <v>8.3999999999999995E-3</v>
      </c>
      <c r="BM29" s="547"/>
      <c r="BO29" s="473">
        <f t="shared" si="53"/>
        <v>16.8</v>
      </c>
      <c r="BP29" s="547">
        <f t="shared" si="38"/>
        <v>4.7095539682539655E-4</v>
      </c>
      <c r="BQ29" s="547">
        <f t="shared" si="54"/>
        <v>2.9090330886728826E-4</v>
      </c>
      <c r="BR29" s="547">
        <f t="shared" si="39"/>
        <v>2.6076314080441892E-4</v>
      </c>
      <c r="BS29" s="547">
        <f t="shared" si="40"/>
        <v>1.812893384768274E-3</v>
      </c>
      <c r="BT29" s="657">
        <f t="shared" si="41"/>
        <v>1.9326753246753241E-2</v>
      </c>
      <c r="BU29" s="473">
        <f t="shared" si="55"/>
        <v>22.162268478018621</v>
      </c>
      <c r="BV29" s="180">
        <f t="shared" si="56"/>
        <v>9.3205996483622475E-2</v>
      </c>
      <c r="BW29" s="5">
        <f t="shared" si="57"/>
        <v>0.51119999999999999</v>
      </c>
      <c r="BX29" s="180">
        <f t="shared" si="58"/>
        <v>0.84578909371203093</v>
      </c>
      <c r="BY29" s="5">
        <f t="shared" si="59"/>
        <v>84.578909371203096</v>
      </c>
      <c r="BZ29">
        <f t="shared" si="60"/>
        <v>24</v>
      </c>
      <c r="CB29" s="582">
        <f t="shared" si="42"/>
        <v>-50</v>
      </c>
      <c r="CC29">
        <f t="shared" si="43"/>
        <v>-50</v>
      </c>
    </row>
    <row r="30" spans="5:81" x14ac:dyDescent="0.25">
      <c r="E30" s="177">
        <v>25</v>
      </c>
      <c r="F30" s="224">
        <f t="shared" si="61"/>
        <v>2.5000000000000001E-2</v>
      </c>
      <c r="G30" s="224">
        <f t="shared" si="44"/>
        <v>2.5000000000000001E-2</v>
      </c>
      <c r="H30" s="224">
        <f t="shared" si="0"/>
        <v>0.1575</v>
      </c>
      <c r="I30" s="224">
        <f t="shared" si="62"/>
        <v>0.375</v>
      </c>
      <c r="J30" s="560">
        <f t="shared" si="1"/>
        <v>24</v>
      </c>
      <c r="K30" s="455">
        <f t="shared" si="2"/>
        <v>13.1</v>
      </c>
      <c r="L30" s="455">
        <f t="shared" si="3"/>
        <v>37.1</v>
      </c>
      <c r="M30" s="455"/>
      <c r="N30" s="224">
        <f t="shared" si="4"/>
        <v>0.35309973045822102</v>
      </c>
      <c r="O30" s="179">
        <f t="shared" si="45"/>
        <v>1.6354982726547966</v>
      </c>
      <c r="P30" s="179">
        <f t="shared" si="5"/>
        <v>3.8940435063209446</v>
      </c>
      <c r="Q30" s="224">
        <f t="shared" si="6"/>
        <v>0.25960290042139628</v>
      </c>
      <c r="R30" s="224">
        <f t="shared" si="7"/>
        <v>0.10903321817698644</v>
      </c>
      <c r="S30" s="455">
        <f t="shared" si="8"/>
        <v>6.3</v>
      </c>
      <c r="T30" s="224">
        <f t="shared" si="9"/>
        <v>0.1396363443596268</v>
      </c>
      <c r="U30" s="224">
        <f t="shared" si="10"/>
        <v>0.31999995582414476</v>
      </c>
      <c r="V30" s="224">
        <f t="shared" si="11"/>
        <v>0.58625946105186832</v>
      </c>
      <c r="W30" s="204">
        <f t="shared" si="12"/>
        <v>350</v>
      </c>
      <c r="X30" s="455">
        <f t="shared" si="46"/>
        <v>350</v>
      </c>
      <c r="Z30" s="224">
        <f t="shared" si="13"/>
        <v>0.44022823537648331</v>
      </c>
      <c r="AA30" s="180">
        <f t="shared" si="14"/>
        <v>1.8482864844050828</v>
      </c>
      <c r="AB30" s="180">
        <f t="shared" si="15"/>
        <v>8.4231817558083441E-2</v>
      </c>
      <c r="AC30" s="180"/>
      <c r="AD30" s="180">
        <f t="shared" si="16"/>
        <v>1.217557251908397</v>
      </c>
      <c r="AE30" s="564">
        <f t="shared" si="17"/>
        <v>239.38210026200508</v>
      </c>
      <c r="AF30" s="547">
        <f t="shared" si="18"/>
        <v>3.6552440597785188E-2</v>
      </c>
      <c r="AH30" s="180">
        <f t="shared" si="19"/>
        <v>0.23521197955179776</v>
      </c>
      <c r="AI30" s="180">
        <f t="shared" si="20"/>
        <v>0.28999999999999998</v>
      </c>
      <c r="AJ30" s="180">
        <f t="shared" si="21"/>
        <v>1.1367897715782886</v>
      </c>
      <c r="AL30" s="564">
        <f t="shared" si="22"/>
        <v>25</v>
      </c>
      <c r="AM30" s="473">
        <f t="shared" si="23"/>
        <v>239.38210026200508</v>
      </c>
      <c r="AO30">
        <f t="shared" si="47"/>
        <v>25</v>
      </c>
      <c r="AP30" s="473">
        <f t="shared" si="24"/>
        <v>239.38210026200508</v>
      </c>
      <c r="AQ30" s="473"/>
      <c r="AR30" s="5">
        <f t="shared" si="48"/>
        <v>4.1774217826040223</v>
      </c>
      <c r="AS30" s="5">
        <f t="shared" si="25"/>
        <v>0.6645833333333333</v>
      </c>
      <c r="AT30" s="5">
        <f t="shared" si="49"/>
        <v>3.512838449270689</v>
      </c>
      <c r="AU30" s="180">
        <f t="shared" si="50"/>
        <v>0.15908935413245753</v>
      </c>
      <c r="AW30" s="5">
        <f t="shared" si="26"/>
        <v>0.26372354497354494</v>
      </c>
      <c r="AX30" s="5">
        <f t="shared" si="27"/>
        <v>0.11076388888888888</v>
      </c>
      <c r="AY30" s="5">
        <f t="shared" si="28"/>
        <v>2.1345372521610086E-2</v>
      </c>
      <c r="AZ30" s="5"/>
      <c r="BA30" s="180">
        <f t="shared" si="51"/>
        <v>6.6781770672691004E-2</v>
      </c>
      <c r="BB30" s="180">
        <f t="shared" si="29"/>
        <v>9.0824546395040354E-2</v>
      </c>
      <c r="BC30" s="180">
        <f t="shared" si="30"/>
        <v>9.2880683667059233E-2</v>
      </c>
      <c r="BD30" s="180"/>
      <c r="BE30" s="547">
        <f t="shared" si="31"/>
        <v>1.5609317129629621E-3</v>
      </c>
      <c r="BF30" s="547">
        <f t="shared" si="32"/>
        <v>2.575512016718913E-2</v>
      </c>
      <c r="BG30" s="547">
        <f t="shared" si="33"/>
        <v>2.9922762532750631E-3</v>
      </c>
      <c r="BH30" s="547">
        <f t="shared" si="34"/>
        <v>1.8945555205743522E-2</v>
      </c>
      <c r="BI30">
        <f t="shared" si="35"/>
        <v>6.96E-3</v>
      </c>
      <c r="BJ30" s="473">
        <f t="shared" si="52"/>
        <v>56.213883339170678</v>
      </c>
      <c r="BK30" s="180">
        <f t="shared" si="36"/>
        <v>8.7499999999999991E-3</v>
      </c>
      <c r="BL30" s="180">
        <f t="shared" si="37"/>
        <v>8.7499999999999991E-3</v>
      </c>
      <c r="BM30" s="547"/>
      <c r="BO30" s="473">
        <f t="shared" si="53"/>
        <v>17.499999999999996</v>
      </c>
      <c r="BP30" s="547">
        <f t="shared" si="38"/>
        <v>4.9057853835978815E-4</v>
      </c>
      <c r="BQ30" s="547">
        <f t="shared" si="54"/>
        <v>2.8871843797526937E-4</v>
      </c>
      <c r="BR30" s="547">
        <f t="shared" si="39"/>
        <v>2.5880464195380967E-4</v>
      </c>
      <c r="BS30" s="547">
        <f t="shared" si="40"/>
        <v>2.0076785620792457E-3</v>
      </c>
      <c r="BT30" s="657">
        <f t="shared" si="41"/>
        <v>2.013203463203463E-2</v>
      </c>
      <c r="BU30" s="473">
        <f t="shared" si="55"/>
        <v>23.177814812402744</v>
      </c>
      <c r="BV30" s="180">
        <f t="shared" si="56"/>
        <v>9.6891698151573419E-2</v>
      </c>
      <c r="BW30" s="5">
        <f t="shared" si="57"/>
        <v>0.53249999999999997</v>
      </c>
      <c r="BX30" s="180">
        <f t="shared" si="58"/>
        <v>0.8460550108364483</v>
      </c>
      <c r="BY30" s="5">
        <f t="shared" si="59"/>
        <v>84.605501083644825</v>
      </c>
      <c r="BZ30">
        <f t="shared" si="60"/>
        <v>25</v>
      </c>
      <c r="CB30" s="582">
        <f t="shared" si="42"/>
        <v>-50</v>
      </c>
      <c r="CC30">
        <f t="shared" si="43"/>
        <v>-50</v>
      </c>
    </row>
    <row r="31" spans="5:81" x14ac:dyDescent="0.25">
      <c r="E31" s="177">
        <v>26</v>
      </c>
      <c r="F31" s="224">
        <f t="shared" si="61"/>
        <v>2.6000000000000002E-2</v>
      </c>
      <c r="G31" s="224">
        <f t="shared" si="44"/>
        <v>2.6000000000000002E-2</v>
      </c>
      <c r="H31" s="224">
        <f t="shared" si="0"/>
        <v>0.1638</v>
      </c>
      <c r="I31" s="224">
        <f t="shared" si="62"/>
        <v>0.39</v>
      </c>
      <c r="J31" s="560">
        <f t="shared" si="1"/>
        <v>24</v>
      </c>
      <c r="K31" s="455">
        <f t="shared" si="2"/>
        <v>13.1</v>
      </c>
      <c r="L31" s="455">
        <f t="shared" si="3"/>
        <v>37.1</v>
      </c>
      <c r="M31" s="455"/>
      <c r="N31" s="224">
        <f t="shared" si="4"/>
        <v>0.35309973045822102</v>
      </c>
      <c r="O31" s="179">
        <f t="shared" si="45"/>
        <v>1.6354982726547966</v>
      </c>
      <c r="P31" s="179">
        <f t="shared" si="5"/>
        <v>3.8940435063209446</v>
      </c>
      <c r="Q31" s="224">
        <f t="shared" si="6"/>
        <v>0.25960290042139628</v>
      </c>
      <c r="R31" s="224">
        <f t="shared" si="7"/>
        <v>0.10903321817698644</v>
      </c>
      <c r="S31" s="455">
        <f t="shared" si="8"/>
        <v>6.3</v>
      </c>
      <c r="T31" s="224">
        <f t="shared" si="9"/>
        <v>0.1452217981340119</v>
      </c>
      <c r="U31" s="224">
        <f t="shared" si="10"/>
        <v>0.3327999540571106</v>
      </c>
      <c r="V31" s="224">
        <f t="shared" si="11"/>
        <v>0.60970983949394308</v>
      </c>
      <c r="W31" s="204">
        <f t="shared" si="12"/>
        <v>350</v>
      </c>
      <c r="X31" s="455">
        <f t="shared" si="46"/>
        <v>350</v>
      </c>
      <c r="Z31" s="224">
        <f t="shared" si="13"/>
        <v>0.44022823537648331</v>
      </c>
      <c r="AA31" s="180">
        <f t="shared" si="14"/>
        <v>1.8482864844050828</v>
      </c>
      <c r="AB31" s="180">
        <f t="shared" si="15"/>
        <v>8.4231817558083441E-2</v>
      </c>
      <c r="AC31" s="180"/>
      <c r="AD31" s="180">
        <f t="shared" si="16"/>
        <v>1.217557251908397</v>
      </c>
      <c r="AE31" s="564">
        <f t="shared" si="17"/>
        <v>248.95738427248531</v>
      </c>
      <c r="AF31" s="547">
        <f t="shared" si="18"/>
        <v>3.6552440597785188E-2</v>
      </c>
      <c r="AH31" s="180">
        <f t="shared" si="19"/>
        <v>0.23987009471308079</v>
      </c>
      <c r="AI31" s="180">
        <f t="shared" si="20"/>
        <v>0.28999999999999998</v>
      </c>
      <c r="AJ31" s="180">
        <f t="shared" si="21"/>
        <v>1.1422613624414202</v>
      </c>
      <c r="AL31" s="564">
        <f t="shared" si="22"/>
        <v>26.000000000000004</v>
      </c>
      <c r="AM31" s="473">
        <f t="shared" si="23"/>
        <v>248.95738427248531</v>
      </c>
      <c r="AO31">
        <f t="shared" si="47"/>
        <v>26.000000000000004</v>
      </c>
      <c r="AP31" s="473">
        <f t="shared" si="24"/>
        <v>248.95738427248531</v>
      </c>
      <c r="AQ31" s="473"/>
      <c r="AR31" s="5">
        <f t="shared" si="48"/>
        <v>4.0167517140423286</v>
      </c>
      <c r="AS31" s="5">
        <f t="shared" si="25"/>
        <v>0.6645833333333333</v>
      </c>
      <c r="AT31" s="5">
        <f t="shared" si="49"/>
        <v>3.3521683807089953</v>
      </c>
      <c r="AU31" s="180">
        <f t="shared" si="50"/>
        <v>0.16545292829775585</v>
      </c>
      <c r="AW31" s="5">
        <f t="shared" si="26"/>
        <v>0.27427248677248678</v>
      </c>
      <c r="AX31" s="5">
        <f t="shared" si="27"/>
        <v>0.11519444444444446</v>
      </c>
      <c r="AY31" s="5">
        <f t="shared" si="28"/>
        <v>2.1183841850313787E-2</v>
      </c>
      <c r="AZ31" s="5"/>
      <c r="BA31" s="180">
        <f t="shared" si="51"/>
        <v>6.8104310362465961E-2</v>
      </c>
      <c r="BB31" s="180">
        <f t="shared" si="29"/>
        <v>9.048023731863071E-2</v>
      </c>
      <c r="BC31" s="180">
        <f t="shared" si="30"/>
        <v>9.2528579927717583E-2</v>
      </c>
      <c r="BD31" s="180"/>
      <c r="BE31" s="547">
        <f t="shared" si="31"/>
        <v>1.6233689814814808E-3</v>
      </c>
      <c r="BF31" s="547">
        <f t="shared" si="32"/>
        <v>2.6785324973876697E-2</v>
      </c>
      <c r="BG31" s="547">
        <f t="shared" si="33"/>
        <v>3.1119673034060665E-3</v>
      </c>
      <c r="BH31" s="547">
        <f t="shared" si="34"/>
        <v>1.9703377413973263E-2</v>
      </c>
      <c r="BI31">
        <f t="shared" si="35"/>
        <v>6.96E-3</v>
      </c>
      <c r="BJ31" s="473">
        <f t="shared" si="52"/>
        <v>58.184038672737508</v>
      </c>
      <c r="BK31" s="180">
        <f t="shared" si="36"/>
        <v>9.1000000000000004E-3</v>
      </c>
      <c r="BL31" s="180">
        <f t="shared" si="37"/>
        <v>9.1000000000000004E-3</v>
      </c>
      <c r="BM31" s="547"/>
      <c r="BO31" s="473">
        <f t="shared" si="53"/>
        <v>18.2</v>
      </c>
      <c r="BP31" s="547">
        <f t="shared" si="38"/>
        <v>5.1020167989417975E-4</v>
      </c>
      <c r="BQ31" s="547">
        <f t="shared" si="54"/>
        <v>2.8653356708325075E-4</v>
      </c>
      <c r="BR31" s="547">
        <f t="shared" si="39"/>
        <v>2.568461431032006E-4</v>
      </c>
      <c r="BS31" s="547">
        <f t="shared" si="40"/>
        <v>2.2145094091466401E-3</v>
      </c>
      <c r="BT31" s="657">
        <f t="shared" si="41"/>
        <v>2.0937316017316018E-2</v>
      </c>
      <c r="BU31" s="473">
        <f t="shared" si="55"/>
        <v>24.205406816543292</v>
      </c>
      <c r="BV31" s="180">
        <f t="shared" si="56"/>
        <v>0.1005894454892808</v>
      </c>
      <c r="BW31" s="5">
        <f t="shared" si="57"/>
        <v>0.55380000000000007</v>
      </c>
      <c r="BX31" s="180">
        <f t="shared" si="58"/>
        <v>0.84628504297762464</v>
      </c>
      <c r="BY31" s="5">
        <f t="shared" si="59"/>
        <v>84.628504297762461</v>
      </c>
      <c r="BZ31">
        <f t="shared" si="60"/>
        <v>26</v>
      </c>
      <c r="CB31" s="582">
        <f t="shared" si="42"/>
        <v>-50</v>
      </c>
      <c r="CC31">
        <f t="shared" si="43"/>
        <v>-50</v>
      </c>
    </row>
    <row r="32" spans="5:81" x14ac:dyDescent="0.25">
      <c r="E32" s="177">
        <v>27</v>
      </c>
      <c r="F32" s="224">
        <f t="shared" si="61"/>
        <v>2.7000000000000003E-2</v>
      </c>
      <c r="G32" s="224">
        <f t="shared" si="44"/>
        <v>2.7000000000000003E-2</v>
      </c>
      <c r="H32" s="224">
        <f t="shared" si="0"/>
        <v>0.17010000000000003</v>
      </c>
      <c r="I32" s="224">
        <f t="shared" si="62"/>
        <v>0.40500000000000003</v>
      </c>
      <c r="J32" s="560">
        <f t="shared" si="1"/>
        <v>24</v>
      </c>
      <c r="K32" s="455">
        <f t="shared" si="2"/>
        <v>13.1</v>
      </c>
      <c r="L32" s="455">
        <f t="shared" si="3"/>
        <v>37.1</v>
      </c>
      <c r="M32" s="455"/>
      <c r="N32" s="224">
        <f t="shared" si="4"/>
        <v>0.35309973045822102</v>
      </c>
      <c r="O32" s="179">
        <f t="shared" si="45"/>
        <v>1.6354982726547966</v>
      </c>
      <c r="P32" s="179">
        <f t="shared" si="5"/>
        <v>3.8940435063209446</v>
      </c>
      <c r="Q32" s="224">
        <f t="shared" si="6"/>
        <v>0.25960290042139628</v>
      </c>
      <c r="R32" s="224">
        <f t="shared" si="7"/>
        <v>0.10903321817698644</v>
      </c>
      <c r="S32" s="455">
        <f t="shared" si="8"/>
        <v>6.3</v>
      </c>
      <c r="T32" s="224">
        <f t="shared" si="9"/>
        <v>0.15080725190839694</v>
      </c>
      <c r="U32" s="224">
        <f t="shared" si="10"/>
        <v>0.34559995229007634</v>
      </c>
      <c r="V32" s="224">
        <f t="shared" si="11"/>
        <v>0.63316021793601773</v>
      </c>
      <c r="W32" s="204">
        <f t="shared" si="12"/>
        <v>350</v>
      </c>
      <c r="X32" s="455">
        <f t="shared" si="46"/>
        <v>350</v>
      </c>
      <c r="Z32" s="224">
        <f t="shared" si="13"/>
        <v>0.44022823537648331</v>
      </c>
      <c r="AA32" s="180">
        <f t="shared" si="14"/>
        <v>1.8482864844050828</v>
      </c>
      <c r="AB32" s="180">
        <f t="shared" si="15"/>
        <v>8.4231817558083441E-2</v>
      </c>
      <c r="AC32" s="180"/>
      <c r="AD32" s="180">
        <f t="shared" si="16"/>
        <v>1.217557251908397</v>
      </c>
      <c r="AE32" s="564">
        <f t="shared" si="17"/>
        <v>258.53266828296552</v>
      </c>
      <c r="AF32" s="547">
        <f t="shared" si="18"/>
        <v>3.6552440597785188E-2</v>
      </c>
      <c r="AH32" s="180">
        <f t="shared" si="19"/>
        <v>0.24443945947953935</v>
      </c>
      <c r="AI32" s="180">
        <f t="shared" si="20"/>
        <v>0.28999999999999998</v>
      </c>
      <c r="AJ32" s="180">
        <f t="shared" si="21"/>
        <v>1.1477329533045517</v>
      </c>
      <c r="AL32" s="564">
        <f t="shared" si="22"/>
        <v>27.000000000000004</v>
      </c>
      <c r="AM32" s="473">
        <f t="shared" si="23"/>
        <v>258.53266828296552</v>
      </c>
      <c r="AO32">
        <f t="shared" si="47"/>
        <v>27.000000000000004</v>
      </c>
      <c r="AP32" s="473">
        <f t="shared" si="24"/>
        <v>258.53266828296552</v>
      </c>
      <c r="AQ32" s="473"/>
      <c r="AR32" s="5">
        <f t="shared" si="48"/>
        <v>3.8679831320407607</v>
      </c>
      <c r="AS32" s="5">
        <f t="shared" si="25"/>
        <v>0.6645833333333333</v>
      </c>
      <c r="AT32" s="5">
        <f t="shared" si="49"/>
        <v>3.2033997987074274</v>
      </c>
      <c r="AU32" s="180">
        <f t="shared" si="50"/>
        <v>0.17181650246305416</v>
      </c>
      <c r="AW32" s="5">
        <f t="shared" si="26"/>
        <v>0.28482142857142861</v>
      </c>
      <c r="AX32" s="5">
        <f t="shared" si="27"/>
        <v>0.11962500000000001</v>
      </c>
      <c r="AY32" s="5">
        <f t="shared" si="28"/>
        <v>2.1022311179017494E-2</v>
      </c>
      <c r="AZ32" s="5"/>
      <c r="BA32" s="180">
        <f t="shared" si="51"/>
        <v>6.9401651894708413E-2</v>
      </c>
      <c r="BB32" s="180">
        <f t="shared" si="29"/>
        <v>9.0134613010799711E-2</v>
      </c>
      <c r="BC32" s="180">
        <f t="shared" si="30"/>
        <v>9.2175131182004405E-2</v>
      </c>
      <c r="BD32" s="180"/>
      <c r="BE32" s="547">
        <f t="shared" si="31"/>
        <v>1.6858062499999994E-3</v>
      </c>
      <c r="BF32" s="547">
        <f t="shared" si="32"/>
        <v>2.7815529780564261E-2</v>
      </c>
      <c r="BG32" s="547">
        <f t="shared" si="33"/>
        <v>3.2316583535370686E-3</v>
      </c>
      <c r="BH32" s="547">
        <f t="shared" si="34"/>
        <v>2.0461199622203004E-2</v>
      </c>
      <c r="BI32">
        <f t="shared" si="35"/>
        <v>6.96E-3</v>
      </c>
      <c r="BJ32" s="473">
        <f t="shared" si="52"/>
        <v>60.15419400630433</v>
      </c>
      <c r="BK32" s="180">
        <f t="shared" si="36"/>
        <v>9.4500000000000001E-3</v>
      </c>
      <c r="BL32" s="180">
        <f t="shared" si="37"/>
        <v>9.4500000000000001E-3</v>
      </c>
      <c r="BM32" s="547"/>
      <c r="BO32" s="473">
        <f t="shared" si="53"/>
        <v>18.899999999999999</v>
      </c>
      <c r="BP32" s="547">
        <f t="shared" si="38"/>
        <v>5.2982482142857124E-4</v>
      </c>
      <c r="BQ32" s="547">
        <f t="shared" si="54"/>
        <v>2.8434869619123186E-4</v>
      </c>
      <c r="BR32" s="547">
        <f t="shared" si="39"/>
        <v>2.5488764425259157E-4</v>
      </c>
      <c r="BS32" s="547">
        <f t="shared" si="40"/>
        <v>2.4336245081476911E-3</v>
      </c>
      <c r="BT32" s="657">
        <f t="shared" si="41"/>
        <v>2.1742597402597402E-2</v>
      </c>
      <c r="BU32" s="473">
        <f t="shared" si="55"/>
        <v>25.245283072617489</v>
      </c>
      <c r="BV32" s="180">
        <f t="shared" si="56"/>
        <v>0.10429947707892182</v>
      </c>
      <c r="BW32" s="5">
        <f t="shared" si="57"/>
        <v>0.57510000000000006</v>
      </c>
      <c r="BX32" s="180">
        <f t="shared" si="58"/>
        <v>0.84648284168931442</v>
      </c>
      <c r="BY32" s="5">
        <f t="shared" si="59"/>
        <v>84.64828416893144</v>
      </c>
      <c r="BZ32">
        <f t="shared" si="60"/>
        <v>27</v>
      </c>
      <c r="CB32" s="582">
        <f t="shared" si="42"/>
        <v>-50</v>
      </c>
      <c r="CC32">
        <f t="shared" si="43"/>
        <v>-50</v>
      </c>
    </row>
    <row r="33" spans="5:81" x14ac:dyDescent="0.25">
      <c r="E33" s="177">
        <v>28</v>
      </c>
      <c r="F33" s="224">
        <f t="shared" si="61"/>
        <v>2.8000000000000004E-2</v>
      </c>
      <c r="G33" s="224">
        <f t="shared" si="44"/>
        <v>2.8000000000000004E-2</v>
      </c>
      <c r="H33" s="224">
        <f t="shared" si="0"/>
        <v>0.17640000000000003</v>
      </c>
      <c r="I33" s="224">
        <f t="shared" si="62"/>
        <v>0.42000000000000004</v>
      </c>
      <c r="J33" s="560">
        <f t="shared" si="1"/>
        <v>24</v>
      </c>
      <c r="K33" s="455">
        <f t="shared" si="2"/>
        <v>13.1</v>
      </c>
      <c r="L33" s="455">
        <f t="shared" si="3"/>
        <v>37.1</v>
      </c>
      <c r="M33" s="455"/>
      <c r="N33" s="224">
        <f t="shared" si="4"/>
        <v>0.35309973045822102</v>
      </c>
      <c r="O33" s="179">
        <f t="shared" si="45"/>
        <v>1.6354982726547966</v>
      </c>
      <c r="P33" s="179">
        <f t="shared" si="5"/>
        <v>3.8940435063209446</v>
      </c>
      <c r="Q33" s="224">
        <f t="shared" si="6"/>
        <v>0.25960290042139628</v>
      </c>
      <c r="R33" s="224">
        <f t="shared" si="7"/>
        <v>0.10903321817698644</v>
      </c>
      <c r="S33" s="455">
        <f t="shared" si="8"/>
        <v>6.3</v>
      </c>
      <c r="T33" s="224">
        <f t="shared" si="9"/>
        <v>0.15639270568278202</v>
      </c>
      <c r="U33" s="224">
        <f t="shared" si="10"/>
        <v>0.35839995052304213</v>
      </c>
      <c r="V33" s="224">
        <f t="shared" si="11"/>
        <v>0.65661059637809249</v>
      </c>
      <c r="W33" s="204">
        <f t="shared" si="12"/>
        <v>350</v>
      </c>
      <c r="X33" s="455">
        <f t="shared" si="46"/>
        <v>350</v>
      </c>
      <c r="Z33" s="224">
        <f t="shared" si="13"/>
        <v>0.44022823537648331</v>
      </c>
      <c r="AA33" s="180">
        <f t="shared" si="14"/>
        <v>1.8482864844050828</v>
      </c>
      <c r="AB33" s="180">
        <f t="shared" si="15"/>
        <v>8.4231817558083441E-2</v>
      </c>
      <c r="AC33" s="180"/>
      <c r="AD33" s="180">
        <f t="shared" si="16"/>
        <v>1.217557251908397</v>
      </c>
      <c r="AE33" s="564">
        <f t="shared" si="17"/>
        <v>268.10795229344575</v>
      </c>
      <c r="AF33" s="547">
        <f t="shared" si="18"/>
        <v>3.6552440597785188E-2</v>
      </c>
      <c r="AH33" s="180">
        <f t="shared" si="19"/>
        <v>0.24892496131090663</v>
      </c>
      <c r="AI33" s="180">
        <f t="shared" si="20"/>
        <v>0.28999999999999998</v>
      </c>
      <c r="AJ33" s="180">
        <f t="shared" si="21"/>
        <v>1.1532045441676833</v>
      </c>
      <c r="AL33" s="564">
        <f t="shared" si="22"/>
        <v>28.000000000000004</v>
      </c>
      <c r="AM33" s="473">
        <f t="shared" si="23"/>
        <v>268.10795229344575</v>
      </c>
      <c r="AO33">
        <f t="shared" si="47"/>
        <v>28.000000000000004</v>
      </c>
      <c r="AP33" s="473">
        <f t="shared" si="24"/>
        <v>268.10795229344575</v>
      </c>
      <c r="AQ33" s="473"/>
      <c r="AR33" s="5">
        <f t="shared" si="48"/>
        <v>3.7298408773250191</v>
      </c>
      <c r="AS33" s="5">
        <f t="shared" si="25"/>
        <v>0.6645833333333333</v>
      </c>
      <c r="AT33" s="5">
        <f t="shared" si="49"/>
        <v>3.0652575439916858</v>
      </c>
      <c r="AU33" s="180">
        <f t="shared" si="50"/>
        <v>0.17818007662835247</v>
      </c>
      <c r="AW33" s="5">
        <f t="shared" si="26"/>
        <v>0.29537037037037039</v>
      </c>
      <c r="AX33" s="5">
        <f t="shared" si="27"/>
        <v>0.12405555555555556</v>
      </c>
      <c r="AY33" s="5">
        <f t="shared" si="28"/>
        <v>2.0860780507721194E-2</v>
      </c>
      <c r="AZ33" s="5"/>
      <c r="BA33" s="180">
        <f t="shared" si="51"/>
        <v>7.0675182924994834E-2</v>
      </c>
      <c r="BB33" s="180">
        <f t="shared" si="29"/>
        <v>8.9787658283182317E-2</v>
      </c>
      <c r="BC33" s="180">
        <f t="shared" si="30"/>
        <v>9.1820321897711804E-2</v>
      </c>
      <c r="BD33" s="180"/>
      <c r="BE33" s="547">
        <f t="shared" si="31"/>
        <v>1.7482435185185183E-3</v>
      </c>
      <c r="BF33" s="547">
        <f t="shared" si="32"/>
        <v>2.8845734587251828E-2</v>
      </c>
      <c r="BG33" s="547">
        <f t="shared" si="33"/>
        <v>3.3513494036680716E-3</v>
      </c>
      <c r="BH33" s="547">
        <f t="shared" si="34"/>
        <v>2.1219021830432748E-2</v>
      </c>
      <c r="BI33">
        <f t="shared" si="35"/>
        <v>6.96E-3</v>
      </c>
      <c r="BJ33" s="473">
        <f t="shared" si="52"/>
        <v>62.124349339871166</v>
      </c>
      <c r="BK33" s="180">
        <f t="shared" si="36"/>
        <v>9.8000000000000014E-3</v>
      </c>
      <c r="BL33" s="180">
        <f t="shared" si="37"/>
        <v>9.8000000000000014E-3</v>
      </c>
      <c r="BM33" s="547"/>
      <c r="BO33" s="473">
        <f t="shared" si="53"/>
        <v>19.600000000000001</v>
      </c>
      <c r="BP33" s="547">
        <f t="shared" si="38"/>
        <v>5.4944796296296295E-4</v>
      </c>
      <c r="BQ33" s="547">
        <f t="shared" si="54"/>
        <v>2.8216382529921318E-4</v>
      </c>
      <c r="BR33" s="547">
        <f t="shared" si="39"/>
        <v>2.5292914540198238E-4</v>
      </c>
      <c r="BS33" s="547">
        <f t="shared" si="40"/>
        <v>2.6652578939192779E-3</v>
      </c>
      <c r="BT33" s="657">
        <f t="shared" si="41"/>
        <v>2.254787878787879E-2</v>
      </c>
      <c r="BU33" s="473">
        <f t="shared" si="55"/>
        <v>26.297677615462227</v>
      </c>
      <c r="BV33" s="180">
        <f t="shared" si="56"/>
        <v>0.10802202695533342</v>
      </c>
      <c r="BW33" s="5">
        <f t="shared" si="57"/>
        <v>0.59640000000000004</v>
      </c>
      <c r="BX33" s="180">
        <f t="shared" si="58"/>
        <v>0.84665154861464476</v>
      </c>
      <c r="BY33" s="5">
        <f t="shared" si="59"/>
        <v>84.665154861464472</v>
      </c>
      <c r="BZ33">
        <f t="shared" si="60"/>
        <v>28.000000000000004</v>
      </c>
      <c r="CB33" s="582">
        <f t="shared" si="42"/>
        <v>-50</v>
      </c>
      <c r="CC33">
        <f t="shared" si="43"/>
        <v>-50</v>
      </c>
    </row>
    <row r="34" spans="5:81" x14ac:dyDescent="0.25">
      <c r="E34" s="177">
        <v>29</v>
      </c>
      <c r="F34" s="224">
        <f t="shared" si="61"/>
        <v>2.8999999999999998E-2</v>
      </c>
      <c r="G34" s="224">
        <f t="shared" si="44"/>
        <v>2.8999999999999998E-2</v>
      </c>
      <c r="H34" s="224">
        <f t="shared" si="0"/>
        <v>0.18269999999999997</v>
      </c>
      <c r="I34" s="224">
        <f t="shared" si="62"/>
        <v>0.43499999999999994</v>
      </c>
      <c r="J34" s="560">
        <f t="shared" si="1"/>
        <v>24</v>
      </c>
      <c r="K34" s="455">
        <f t="shared" si="2"/>
        <v>13.1</v>
      </c>
      <c r="L34" s="455">
        <f t="shared" si="3"/>
        <v>37.1</v>
      </c>
      <c r="M34" s="455"/>
      <c r="N34" s="224">
        <f t="shared" si="4"/>
        <v>0.35309973045822102</v>
      </c>
      <c r="O34" s="179">
        <f t="shared" si="45"/>
        <v>1.6354982726547966</v>
      </c>
      <c r="P34" s="179">
        <f t="shared" si="5"/>
        <v>3.8940435063209446</v>
      </c>
      <c r="Q34" s="224">
        <f t="shared" si="6"/>
        <v>0.25960290042139628</v>
      </c>
      <c r="R34" s="224">
        <f t="shared" si="7"/>
        <v>0.10903321817698644</v>
      </c>
      <c r="S34" s="455">
        <f t="shared" si="8"/>
        <v>6.3</v>
      </c>
      <c r="T34" s="224">
        <f t="shared" si="9"/>
        <v>0.16197815945716706</v>
      </c>
      <c r="U34" s="224">
        <f t="shared" si="10"/>
        <v>0.37119994875600781</v>
      </c>
      <c r="V34" s="224">
        <f t="shared" si="11"/>
        <v>0.68006097482016703</v>
      </c>
      <c r="W34" s="204">
        <f t="shared" si="12"/>
        <v>350</v>
      </c>
      <c r="X34" s="455">
        <f t="shared" si="46"/>
        <v>350</v>
      </c>
      <c r="Z34" s="224">
        <f t="shared" si="13"/>
        <v>0.44022823537648331</v>
      </c>
      <c r="AA34" s="180">
        <f t="shared" si="14"/>
        <v>1.8482864844050828</v>
      </c>
      <c r="AB34" s="180">
        <f t="shared" si="15"/>
        <v>8.4231817558083441E-2</v>
      </c>
      <c r="AC34" s="180"/>
      <c r="AD34" s="180">
        <f t="shared" si="16"/>
        <v>1.217557251908397</v>
      </c>
      <c r="AE34" s="564">
        <f t="shared" si="17"/>
        <v>277.68323630392587</v>
      </c>
      <c r="AF34" s="547">
        <f t="shared" si="18"/>
        <v>3.6552440597785188E-2</v>
      </c>
      <c r="AH34" s="180">
        <f t="shared" si="19"/>
        <v>0.25333105489975638</v>
      </c>
      <c r="AI34" s="180">
        <f t="shared" si="20"/>
        <v>0.28999999999999998</v>
      </c>
      <c r="AJ34" s="180">
        <f t="shared" si="21"/>
        <v>1.1586761350308148</v>
      </c>
      <c r="AL34" s="564">
        <f t="shared" si="22"/>
        <v>28.999999999999996</v>
      </c>
      <c r="AM34" s="473">
        <f t="shared" si="23"/>
        <v>277.68323630392587</v>
      </c>
      <c r="AO34">
        <f t="shared" si="47"/>
        <v>28.999999999999996</v>
      </c>
      <c r="AP34" s="473">
        <f t="shared" si="24"/>
        <v>277.68323630392587</v>
      </c>
      <c r="AQ34" s="473"/>
      <c r="AR34" s="5">
        <f t="shared" si="48"/>
        <v>3.60122567465864</v>
      </c>
      <c r="AS34" s="5">
        <f t="shared" si="25"/>
        <v>0.6645833333333333</v>
      </c>
      <c r="AT34" s="5">
        <f t="shared" si="49"/>
        <v>2.9366423413253067</v>
      </c>
      <c r="AU34" s="180">
        <f t="shared" si="50"/>
        <v>0.18454365079365073</v>
      </c>
      <c r="AW34" s="5">
        <f t="shared" si="26"/>
        <v>0.30591931216931212</v>
      </c>
      <c r="AX34" s="5">
        <f t="shared" si="27"/>
        <v>0.12848611111111108</v>
      </c>
      <c r="AY34" s="5">
        <f t="shared" si="28"/>
        <v>2.0699249836424898E-2</v>
      </c>
      <c r="AZ34" s="5"/>
      <c r="BA34" s="180">
        <f t="shared" si="51"/>
        <v>7.1926168236940549E-2</v>
      </c>
      <c r="BB34" s="180">
        <f t="shared" si="29"/>
        <v>8.9439357652816395E-2</v>
      </c>
      <c r="BC34" s="180">
        <f t="shared" si="30"/>
        <v>9.1464136241365721E-2</v>
      </c>
      <c r="BD34" s="180"/>
      <c r="BE34" s="547">
        <f t="shared" si="31"/>
        <v>1.8106807870370363E-3</v>
      </c>
      <c r="BF34" s="547">
        <f t="shared" si="32"/>
        <v>2.9875939393939385E-2</v>
      </c>
      <c r="BG34" s="547">
        <f t="shared" si="33"/>
        <v>3.4710404537990733E-3</v>
      </c>
      <c r="BH34" s="547">
        <f t="shared" si="34"/>
        <v>2.1976844038662478E-2</v>
      </c>
      <c r="BI34">
        <f t="shared" si="35"/>
        <v>6.96E-3</v>
      </c>
      <c r="BJ34" s="473">
        <f t="shared" si="52"/>
        <v>64.094504673437967</v>
      </c>
      <c r="BK34" s="180">
        <f t="shared" si="36"/>
        <v>1.0149999999999999E-2</v>
      </c>
      <c r="BL34" s="180">
        <f t="shared" si="37"/>
        <v>1.0149999999999999E-2</v>
      </c>
      <c r="BM34" s="547"/>
      <c r="BO34" s="473">
        <f t="shared" si="53"/>
        <v>20.299999999999997</v>
      </c>
      <c r="BP34" s="547">
        <f t="shared" si="38"/>
        <v>5.6907110449735433E-4</v>
      </c>
      <c r="BQ34" s="547">
        <f t="shared" si="54"/>
        <v>2.7997895440719423E-4</v>
      </c>
      <c r="BR34" s="547">
        <f t="shared" si="39"/>
        <v>2.509706465513733E-4</v>
      </c>
      <c r="BS34" s="547">
        <f t="shared" si="40"/>
        <v>2.9096393045236792E-3</v>
      </c>
      <c r="BT34" s="657">
        <f t="shared" si="41"/>
        <v>2.3353160173160168E-2</v>
      </c>
      <c r="BU34" s="473">
        <f t="shared" si="55"/>
        <v>27.362820183139771</v>
      </c>
      <c r="BV34" s="180">
        <f t="shared" si="56"/>
        <v>0.11175732485657772</v>
      </c>
      <c r="BW34" s="5">
        <f t="shared" si="57"/>
        <v>0.61769999999999992</v>
      </c>
      <c r="BX34" s="180">
        <f t="shared" si="58"/>
        <v>0.84679388218008378</v>
      </c>
      <c r="BY34" s="5">
        <f t="shared" si="59"/>
        <v>84.679388218008384</v>
      </c>
      <c r="BZ34">
        <f t="shared" si="60"/>
        <v>28.999999999999996</v>
      </c>
      <c r="CB34" s="582">
        <f t="shared" si="42"/>
        <v>-50</v>
      </c>
      <c r="CC34">
        <f t="shared" si="43"/>
        <v>-50</v>
      </c>
    </row>
    <row r="35" spans="5:81" x14ac:dyDescent="0.25">
      <c r="E35" s="177">
        <v>30</v>
      </c>
      <c r="F35" s="224">
        <f t="shared" si="61"/>
        <v>0.03</v>
      </c>
      <c r="G35" s="224">
        <f t="shared" si="44"/>
        <v>0.03</v>
      </c>
      <c r="H35" s="224">
        <f t="shared" si="0"/>
        <v>0.189</v>
      </c>
      <c r="I35" s="224">
        <f t="shared" si="62"/>
        <v>0.44999999999999996</v>
      </c>
      <c r="J35" s="560">
        <f t="shared" si="1"/>
        <v>24</v>
      </c>
      <c r="K35" s="455">
        <f t="shared" si="2"/>
        <v>13.1</v>
      </c>
      <c r="L35" s="455">
        <f t="shared" si="3"/>
        <v>37.1</v>
      </c>
      <c r="M35" s="455"/>
      <c r="N35" s="224">
        <f t="shared" si="4"/>
        <v>0.35309973045822102</v>
      </c>
      <c r="O35" s="179">
        <f t="shared" si="45"/>
        <v>1.6354982726547966</v>
      </c>
      <c r="P35" s="179">
        <f t="shared" si="5"/>
        <v>3.8940435063209446</v>
      </c>
      <c r="Q35" s="224">
        <f t="shared" si="6"/>
        <v>0.25960290042139628</v>
      </c>
      <c r="R35" s="224">
        <f t="shared" si="7"/>
        <v>0.10903321817698644</v>
      </c>
      <c r="S35" s="455">
        <f t="shared" si="8"/>
        <v>6.3</v>
      </c>
      <c r="T35" s="224">
        <f t="shared" si="9"/>
        <v>0.16756361323155217</v>
      </c>
      <c r="U35" s="224">
        <f t="shared" si="10"/>
        <v>0.38399994698897372</v>
      </c>
      <c r="V35" s="224">
        <f t="shared" si="11"/>
        <v>0.7035113532622419</v>
      </c>
      <c r="W35" s="204">
        <f t="shared" si="12"/>
        <v>350</v>
      </c>
      <c r="X35" s="455">
        <f t="shared" si="46"/>
        <v>350</v>
      </c>
      <c r="Z35" s="224">
        <f t="shared" si="13"/>
        <v>0.44022823537648331</v>
      </c>
      <c r="AA35" s="180">
        <f t="shared" si="14"/>
        <v>1.8482864844050828</v>
      </c>
      <c r="AB35" s="180">
        <f t="shared" si="15"/>
        <v>8.4231817558083441E-2</v>
      </c>
      <c r="AC35" s="180"/>
      <c r="AD35" s="180">
        <f t="shared" si="16"/>
        <v>1.217557251908397</v>
      </c>
      <c r="AE35" s="564">
        <f t="shared" si="17"/>
        <v>287.2585203144061</v>
      </c>
      <c r="AF35" s="547">
        <f t="shared" si="18"/>
        <v>3.6552440597785188E-2</v>
      </c>
      <c r="AH35" s="180">
        <f t="shared" si="19"/>
        <v>0.257661813991927</v>
      </c>
      <c r="AI35" s="180">
        <f t="shared" si="20"/>
        <v>0.28999999999999998</v>
      </c>
      <c r="AJ35" s="180">
        <f t="shared" si="21"/>
        <v>1.1641477258939463</v>
      </c>
      <c r="AL35" s="564">
        <f t="shared" si="22"/>
        <v>30</v>
      </c>
      <c r="AM35" s="473">
        <f t="shared" si="23"/>
        <v>287.2585203144061</v>
      </c>
      <c r="AO35">
        <f t="shared" si="47"/>
        <v>30</v>
      </c>
      <c r="AP35" s="473">
        <f t="shared" si="24"/>
        <v>287.2585203144061</v>
      </c>
      <c r="AQ35" s="473"/>
      <c r="AR35" s="5">
        <f t="shared" si="48"/>
        <v>3.481184818836685</v>
      </c>
      <c r="AS35" s="5">
        <f t="shared" si="25"/>
        <v>0.6645833333333333</v>
      </c>
      <c r="AT35" s="5">
        <f t="shared" si="49"/>
        <v>2.8166014855033517</v>
      </c>
      <c r="AU35" s="180">
        <f t="shared" si="50"/>
        <v>0.19090722495894905</v>
      </c>
      <c r="AW35" s="5">
        <f t="shared" si="26"/>
        <v>0.3164682539682539</v>
      </c>
      <c r="AX35" s="5">
        <f t="shared" si="27"/>
        <v>0.13291666666666666</v>
      </c>
      <c r="AY35" s="5">
        <f t="shared" si="28"/>
        <v>2.0537719165128601E-2</v>
      </c>
      <c r="AZ35" s="5"/>
      <c r="BA35" s="180">
        <f t="shared" si="51"/>
        <v>7.3155764455139619E-2</v>
      </c>
      <c r="BB35" s="180">
        <f t="shared" si="29"/>
        <v>8.9089695334080579E-2</v>
      </c>
      <c r="BC35" s="180">
        <f t="shared" si="30"/>
        <v>9.1106558069980914E-2</v>
      </c>
      <c r="BD35" s="180"/>
      <c r="BE35" s="547">
        <f t="shared" si="31"/>
        <v>1.8731180555555541E-3</v>
      </c>
      <c r="BF35" s="547">
        <f t="shared" si="32"/>
        <v>3.0906144200626956E-2</v>
      </c>
      <c r="BG35" s="547">
        <f t="shared" si="33"/>
        <v>3.5907315039300758E-3</v>
      </c>
      <c r="BH35" s="547">
        <f t="shared" si="34"/>
        <v>2.2734666246892223E-2</v>
      </c>
      <c r="BI35">
        <f t="shared" si="35"/>
        <v>6.96E-3</v>
      </c>
      <c r="BJ35" s="473">
        <f t="shared" si="52"/>
        <v>66.064660007004804</v>
      </c>
      <c r="BK35" s="180">
        <f t="shared" si="36"/>
        <v>1.0499999999999999E-2</v>
      </c>
      <c r="BL35" s="180">
        <f t="shared" si="37"/>
        <v>1.0499999999999999E-2</v>
      </c>
      <c r="BM35" s="547"/>
      <c r="BO35" s="473">
        <f t="shared" si="53"/>
        <v>20.999999999999996</v>
      </c>
      <c r="BP35" s="547">
        <f t="shared" si="38"/>
        <v>5.8869424603174561E-4</v>
      </c>
      <c r="BQ35" s="547">
        <f t="shared" si="54"/>
        <v>2.7779408351517551E-4</v>
      </c>
      <c r="BR35" s="547">
        <f t="shared" si="39"/>
        <v>2.4901214770076417E-4</v>
      </c>
      <c r="BS35" s="547">
        <f t="shared" si="40"/>
        <v>3.1669944096105788E-3</v>
      </c>
      <c r="BT35" s="657">
        <f t="shared" si="41"/>
        <v>2.4158441558441556E-2</v>
      </c>
      <c r="BU35" s="473">
        <f t="shared" si="55"/>
        <v>28.440936445299823</v>
      </c>
      <c r="BV35" s="180">
        <f t="shared" si="56"/>
        <v>0.11550559645230463</v>
      </c>
      <c r="BW35" s="5">
        <f t="shared" si="57"/>
        <v>0.63900000000000001</v>
      </c>
      <c r="BX35" s="180">
        <f t="shared" si="58"/>
        <v>0.84691220715205628</v>
      </c>
      <c r="BY35" s="5">
        <f t="shared" si="59"/>
        <v>84.691220715205631</v>
      </c>
      <c r="BZ35">
        <f t="shared" si="60"/>
        <v>30</v>
      </c>
      <c r="CB35" s="582">
        <f t="shared" si="42"/>
        <v>-50</v>
      </c>
      <c r="CC35">
        <f t="shared" si="43"/>
        <v>-50</v>
      </c>
    </row>
    <row r="36" spans="5:81" x14ac:dyDescent="0.25">
      <c r="E36" s="177">
        <v>31</v>
      </c>
      <c r="F36" s="224">
        <f t="shared" si="61"/>
        <v>3.1E-2</v>
      </c>
      <c r="G36" s="224">
        <f t="shared" si="44"/>
        <v>3.1E-2</v>
      </c>
      <c r="H36" s="224">
        <f t="shared" si="0"/>
        <v>0.1953</v>
      </c>
      <c r="I36" s="224">
        <f t="shared" si="62"/>
        <v>0.46499999999999997</v>
      </c>
      <c r="J36" s="560">
        <f t="shared" si="1"/>
        <v>24</v>
      </c>
      <c r="K36" s="455">
        <f t="shared" si="2"/>
        <v>13.1</v>
      </c>
      <c r="L36" s="455">
        <f t="shared" si="3"/>
        <v>37.1</v>
      </c>
      <c r="M36" s="455"/>
      <c r="N36" s="224">
        <f t="shared" si="4"/>
        <v>0.35309973045822102</v>
      </c>
      <c r="O36" s="179">
        <f t="shared" si="45"/>
        <v>1.6354982726547966</v>
      </c>
      <c r="P36" s="179">
        <f t="shared" si="5"/>
        <v>3.8940435063209446</v>
      </c>
      <c r="Q36" s="224">
        <f t="shared" si="6"/>
        <v>0.25960290042139628</v>
      </c>
      <c r="R36" s="224">
        <f t="shared" si="7"/>
        <v>0.10903321817698644</v>
      </c>
      <c r="S36" s="455">
        <f t="shared" si="8"/>
        <v>6.3</v>
      </c>
      <c r="T36" s="224">
        <f t="shared" si="9"/>
        <v>0.17314906700593724</v>
      </c>
      <c r="U36" s="224">
        <f t="shared" si="10"/>
        <v>0.39679994522193951</v>
      </c>
      <c r="V36" s="224">
        <f t="shared" si="11"/>
        <v>0.72696173170431666</v>
      </c>
      <c r="W36" s="204">
        <f t="shared" si="12"/>
        <v>350</v>
      </c>
      <c r="X36" s="455">
        <f t="shared" si="46"/>
        <v>350</v>
      </c>
      <c r="Z36" s="224">
        <f t="shared" si="13"/>
        <v>0.44022823537648331</v>
      </c>
      <c r="AA36" s="180">
        <f t="shared" si="14"/>
        <v>1.8482864844050828</v>
      </c>
      <c r="AB36" s="180">
        <f t="shared" si="15"/>
        <v>8.4231817558083441E-2</v>
      </c>
      <c r="AC36" s="180"/>
      <c r="AD36" s="180">
        <f t="shared" si="16"/>
        <v>1.217557251908397</v>
      </c>
      <c r="AE36" s="564">
        <f t="shared" si="17"/>
        <v>296.83380432488633</v>
      </c>
      <c r="AF36" s="547">
        <f t="shared" si="18"/>
        <v>3.6552440597785188E-2</v>
      </c>
      <c r="AH36" s="180">
        <f t="shared" si="19"/>
        <v>0.26192097549184068</v>
      </c>
      <c r="AI36" s="180">
        <f t="shared" si="20"/>
        <v>0.28999999999999998</v>
      </c>
      <c r="AJ36" s="180">
        <f t="shared" si="21"/>
        <v>1.1696193167570779</v>
      </c>
      <c r="AL36" s="564">
        <f t="shared" si="22"/>
        <v>31</v>
      </c>
      <c r="AM36" s="473">
        <f t="shared" si="23"/>
        <v>296.83380432488633</v>
      </c>
      <c r="AO36">
        <f t="shared" si="47"/>
        <v>31</v>
      </c>
      <c r="AP36" s="473">
        <f t="shared" si="24"/>
        <v>296.83380432488633</v>
      </c>
      <c r="AQ36" s="473"/>
      <c r="AR36" s="5">
        <f t="shared" si="48"/>
        <v>3.3688885343580819</v>
      </c>
      <c r="AS36" s="5">
        <f t="shared" si="25"/>
        <v>0.6645833333333333</v>
      </c>
      <c r="AT36" s="5">
        <f t="shared" si="49"/>
        <v>2.7043052010247486</v>
      </c>
      <c r="AU36" s="180">
        <f t="shared" si="50"/>
        <v>0.19727079912424736</v>
      </c>
      <c r="AW36" s="5">
        <f t="shared" si="26"/>
        <v>0.32701719576719579</v>
      </c>
      <c r="AX36" s="5">
        <f t="shared" si="27"/>
        <v>0.1373472222222222</v>
      </c>
      <c r="AY36" s="5">
        <f t="shared" si="28"/>
        <v>2.0376188493832305E-2</v>
      </c>
      <c r="AZ36" s="5"/>
      <c r="BA36" s="180">
        <f t="shared" si="51"/>
        <v>7.4365032567619213E-2</v>
      </c>
      <c r="BB36" s="180">
        <f t="shared" si="29"/>
        <v>8.8738655230345881E-2</v>
      </c>
      <c r="BC36" s="180">
        <f t="shared" si="30"/>
        <v>9.0747570922523904E-2</v>
      </c>
      <c r="BD36" s="180"/>
      <c r="BE36" s="547">
        <f t="shared" si="31"/>
        <v>1.9355553240740732E-3</v>
      </c>
      <c r="BF36" s="547">
        <f t="shared" si="32"/>
        <v>3.193634900731452E-2</v>
      </c>
      <c r="BG36" s="547">
        <f t="shared" si="33"/>
        <v>3.7104225540610792E-3</v>
      </c>
      <c r="BH36" s="547">
        <f t="shared" si="34"/>
        <v>2.3492488455121967E-2</v>
      </c>
      <c r="BI36">
        <f t="shared" si="35"/>
        <v>6.96E-3</v>
      </c>
      <c r="BJ36" s="473">
        <f t="shared" si="52"/>
        <v>68.03481534057164</v>
      </c>
      <c r="BK36" s="180">
        <f t="shared" si="36"/>
        <v>1.0849999999999999E-2</v>
      </c>
      <c r="BL36" s="180">
        <f t="shared" si="37"/>
        <v>1.0849999999999999E-2</v>
      </c>
      <c r="BM36" s="547"/>
      <c r="BO36" s="473">
        <f t="shared" si="53"/>
        <v>21.699999999999996</v>
      </c>
      <c r="BP36" s="547">
        <f t="shared" si="38"/>
        <v>6.0831738756613732E-4</v>
      </c>
      <c r="BQ36" s="547">
        <f t="shared" si="54"/>
        <v>2.7560921262315672E-4</v>
      </c>
      <c r="BR36" s="547">
        <f t="shared" si="39"/>
        <v>2.4705364885015514E-4</v>
      </c>
      <c r="BS36" s="547">
        <f t="shared" si="40"/>
        <v>3.4375450192365188E-3</v>
      </c>
      <c r="BT36" s="657">
        <f t="shared" si="41"/>
        <v>2.4963722943722941E-2</v>
      </c>
      <c r="BU36" s="473">
        <f t="shared" si="55"/>
        <v>29.532248211998908</v>
      </c>
      <c r="BV36" s="180">
        <f t="shared" si="56"/>
        <v>0.11926706355257054</v>
      </c>
      <c r="BW36" s="5">
        <f t="shared" si="57"/>
        <v>0.6603</v>
      </c>
      <c r="BX36" s="180">
        <f t="shared" si="58"/>
        <v>0.84700859088497427</v>
      </c>
      <c r="BY36" s="5">
        <f t="shared" si="59"/>
        <v>84.700859088497424</v>
      </c>
      <c r="BZ36">
        <f t="shared" si="60"/>
        <v>31</v>
      </c>
      <c r="CB36" s="582">
        <f t="shared" si="42"/>
        <v>-50</v>
      </c>
      <c r="CC36">
        <f t="shared" si="43"/>
        <v>-50</v>
      </c>
    </row>
    <row r="37" spans="5:81" x14ac:dyDescent="0.25">
      <c r="E37" s="177">
        <v>32</v>
      </c>
      <c r="F37" s="224">
        <f t="shared" si="61"/>
        <v>3.2000000000000001E-2</v>
      </c>
      <c r="G37" s="224">
        <f t="shared" si="44"/>
        <v>3.2000000000000001E-2</v>
      </c>
      <c r="H37" s="224">
        <f t="shared" ref="H37:H68" si="63">F37*Vout</f>
        <v>0.2016</v>
      </c>
      <c r="I37" s="224">
        <f t="shared" si="62"/>
        <v>0.48</v>
      </c>
      <c r="J37" s="560">
        <f t="shared" si="1"/>
        <v>24</v>
      </c>
      <c r="K37" s="455">
        <f t="shared" si="2"/>
        <v>13.1</v>
      </c>
      <c r="L37" s="455">
        <f t="shared" si="3"/>
        <v>37.1</v>
      </c>
      <c r="M37" s="455"/>
      <c r="N37" s="224">
        <f t="shared" si="4"/>
        <v>0.35309973045822102</v>
      </c>
      <c r="O37" s="179">
        <f t="shared" si="45"/>
        <v>1.6354982726547966</v>
      </c>
      <c r="P37" s="179">
        <f t="shared" ref="P37:P68" si="64">N37*J37*Isw_max*0.5*Efficiency*(Pout2/Pout_total)</f>
        <v>3.8940435063209446</v>
      </c>
      <c r="Q37" s="224">
        <f t="shared" si="6"/>
        <v>0.25960290042139628</v>
      </c>
      <c r="R37" s="224">
        <f t="shared" ref="R37:R68" si="65">O37/Vout2</f>
        <v>0.10903321817698644</v>
      </c>
      <c r="S37" s="455">
        <f t="shared" ref="S37:S68" si="66">MIN(Vout,O37/F37)</f>
        <v>6.3</v>
      </c>
      <c r="T37" s="224">
        <f t="shared" ref="T37:T68" si="67">MIN(2*(Vout*F37+Vout2*G37)/(Efficiency*J37*N37), Isw_max)</f>
        <v>0.17873452078032229</v>
      </c>
      <c r="U37" s="224">
        <f t="shared" si="10"/>
        <v>0.40959994345490519</v>
      </c>
      <c r="V37" s="224">
        <f t="shared" si="11"/>
        <v>0.75041211014639131</v>
      </c>
      <c r="W37" s="204">
        <f t="shared" si="12"/>
        <v>350</v>
      </c>
      <c r="X37" s="455">
        <f t="shared" si="46"/>
        <v>350</v>
      </c>
      <c r="Z37" s="224">
        <f t="shared" si="13"/>
        <v>0.44022823537648331</v>
      </c>
      <c r="AA37" s="180">
        <f t="shared" si="14"/>
        <v>1.8482864844050828</v>
      </c>
      <c r="AB37" s="180">
        <f t="shared" ref="AB37:AB68" si="68">0.5*AA37*Z37*Nps*W37/1000*(Pout/Pout_total)</f>
        <v>8.4231817558083441E-2</v>
      </c>
      <c r="AC37" s="180"/>
      <c r="AD37" s="180">
        <f t="shared" si="16"/>
        <v>1.217557251908397</v>
      </c>
      <c r="AE37" s="564">
        <f t="shared" ref="AE37:AE68" si="69">MAX(10, F37/(0.5*AD37/1000000*Isw_min*Nps)/1000*Pout_total/Pout)</f>
        <v>306.4090883353665</v>
      </c>
      <c r="AF37" s="547">
        <f t="shared" ref="AF37:AF68" si="70">0.5*AD37/1000000*Isw_min*Nps*W37*1000*(Pout/Pout_total)</f>
        <v>3.6552440597785188E-2</v>
      </c>
      <c r="AH37" s="180">
        <f t="shared" ref="AH37:AH68" si="71">SQRT((H37+I37)/(0.5*L*Fsw_DCM))</f>
        <v>0.26611197721182039</v>
      </c>
      <c r="AI37" s="180">
        <f t="shared" ref="AI37:AI68" si="72">MAX(IF(F37&gt;AB37,T37,AH37),Isw_min)</f>
        <v>0.28999999999999998</v>
      </c>
      <c r="AJ37" s="180">
        <f t="shared" ref="AJ37:AJ68" si="73">IF(F37&gt;AF37, (AI37-Isw_min)/1.08*0.8+1.2, AE37*0.2/350+1)</f>
        <v>1.1750909076202094</v>
      </c>
      <c r="AL37" s="564">
        <f t="shared" ref="AL37:AL68" si="74">F37*1000</f>
        <v>32</v>
      </c>
      <c r="AM37" s="473">
        <f t="shared" ref="AM37:AM68" si="75">IF(F37&gt;AF37, X37, AE37)</f>
        <v>306.4090883353665</v>
      </c>
      <c r="AO37">
        <f t="shared" si="47"/>
        <v>32</v>
      </c>
      <c r="AP37" s="473">
        <f t="shared" si="24"/>
        <v>306.4090883353665</v>
      </c>
      <c r="AQ37" s="473"/>
      <c r="AR37" s="5">
        <f t="shared" si="48"/>
        <v>3.2636107676593924</v>
      </c>
      <c r="AS37" s="5">
        <f t="shared" si="25"/>
        <v>0.6645833333333333</v>
      </c>
      <c r="AT37" s="5">
        <f t="shared" si="49"/>
        <v>2.5990274343260591</v>
      </c>
      <c r="AU37" s="180">
        <f t="shared" si="50"/>
        <v>0.20363437328954564</v>
      </c>
      <c r="AW37" s="5">
        <f t="shared" ref="AW37:AW68" si="76">F37*AS37/Vout_ripple*1000</f>
        <v>0.33756613756613757</v>
      </c>
      <c r="AX37" s="5">
        <f t="shared" ref="AX37:AX68" si="77">G37*AS37/Vout_ripple2*1000</f>
        <v>0.14177777777777778</v>
      </c>
      <c r="AY37" s="5">
        <f t="shared" si="28"/>
        <v>2.0214657822536012E-2</v>
      </c>
      <c r="AZ37" s="5"/>
      <c r="BA37" s="180">
        <f t="shared" si="51"/>
        <v>7.5554948643687544E-2</v>
      </c>
      <c r="BB37" s="180">
        <f t="shared" ref="BB37:BB68" si="78">AI37*Npri_sec1*SQRT((1-AU37)/3)*(Pout/Pout_total)</f>
        <v>8.8386220925329093E-2</v>
      </c>
      <c r="BC37" s="180">
        <f t="shared" ref="BC37:BC68" si="79">AI37*Npri_sec2*SQRT((1-AU37)/3)*(Pout2/Pout_total)</f>
        <v>9.0387158011070362E-2</v>
      </c>
      <c r="BD37" s="180"/>
      <c r="BE37" s="547">
        <f t="shared" si="31"/>
        <v>1.9979925925925918E-3</v>
      </c>
      <c r="BF37" s="547">
        <f t="shared" si="32"/>
        <v>3.2966553814002084E-2</v>
      </c>
      <c r="BG37" s="547">
        <f t="shared" si="33"/>
        <v>3.8301136041920814E-3</v>
      </c>
      <c r="BH37" s="547">
        <f t="shared" si="34"/>
        <v>2.4250310663351708E-2</v>
      </c>
      <c r="BI37">
        <f t="shared" si="35"/>
        <v>6.96E-3</v>
      </c>
      <c r="BJ37" s="473">
        <f t="shared" si="52"/>
        <v>70.004970674138448</v>
      </c>
      <c r="BK37" s="180">
        <f t="shared" ref="BK37:BK68" si="80">Vfwd2*F37</f>
        <v>1.12E-2</v>
      </c>
      <c r="BL37" s="180">
        <f t="shared" ref="BL37:BL68" si="81">Vfwd2*G37</f>
        <v>1.12E-2</v>
      </c>
      <c r="BM37" s="547"/>
      <c r="BO37" s="473">
        <f t="shared" si="53"/>
        <v>22.4</v>
      </c>
      <c r="BP37" s="547">
        <f t="shared" si="38"/>
        <v>6.2794052910052891E-4</v>
      </c>
      <c r="BQ37" s="547">
        <f t="shared" si="54"/>
        <v>2.7342434173113788E-4</v>
      </c>
      <c r="BR37" s="547">
        <f t="shared" ref="BR37:BR68" si="82">Rdcr_sec2*BC37^2</f>
        <v>2.4509514999954607E-4</v>
      </c>
      <c r="BS37" s="547">
        <f t="shared" si="40"/>
        <v>3.7215092754064143E-3</v>
      </c>
      <c r="BT37" s="657">
        <f t="shared" ref="BT37:BT68" si="83">0.5*Lleak*0.000000001*AI37^2*AM37*1000</f>
        <v>2.5769004329004325E-2</v>
      </c>
      <c r="BU37" s="473">
        <f t="shared" si="55"/>
        <v>30.636973625241954</v>
      </c>
      <c r="BV37" s="180">
        <f t="shared" si="56"/>
        <v>0.12304194429938041</v>
      </c>
      <c r="BW37" s="5">
        <f t="shared" si="57"/>
        <v>0.68159999999999998</v>
      </c>
      <c r="BX37" s="180">
        <f t="shared" si="58"/>
        <v>0.84708484914179338</v>
      </c>
      <c r="BY37" s="5">
        <f t="shared" si="59"/>
        <v>84.708484914179337</v>
      </c>
      <c r="BZ37">
        <f t="shared" si="60"/>
        <v>32</v>
      </c>
      <c r="CB37" s="582">
        <f t="shared" ref="CB37:CB68" si="84">IF(ABS(F37-Ioutmax_Vinnom)&lt;Iout/200, AM37, -50)</f>
        <v>-50</v>
      </c>
      <c r="CC37">
        <f t="shared" ref="CC37:CC68" si="85">IF(ABS(F37-Ioutmax_Vinnom)&lt;Iout/200, (O37+P37)*BX37, -50)</f>
        <v>-50</v>
      </c>
    </row>
    <row r="38" spans="5:81" x14ac:dyDescent="0.25">
      <c r="E38" s="177">
        <v>33</v>
      </c>
      <c r="F38" s="224">
        <f t="shared" si="61"/>
        <v>3.3000000000000002E-2</v>
      </c>
      <c r="G38" s="224">
        <f t="shared" ref="G38:G69" si="86">IF(PLOT_TYPE=1, E38/100*Iout2, min_I*EXP(Q38*rr/100))</f>
        <v>3.3000000000000002E-2</v>
      </c>
      <c r="H38" s="224">
        <f t="shared" si="63"/>
        <v>0.2079</v>
      </c>
      <c r="I38" s="224">
        <f t="shared" si="62"/>
        <v>0.495</v>
      </c>
      <c r="J38" s="560">
        <f t="shared" si="1"/>
        <v>24</v>
      </c>
      <c r="K38" s="455">
        <f t="shared" si="2"/>
        <v>13.1</v>
      </c>
      <c r="L38" s="455">
        <f t="shared" si="3"/>
        <v>37.1</v>
      </c>
      <c r="M38" s="455"/>
      <c r="N38" s="224">
        <f t="shared" si="4"/>
        <v>0.35309973045822102</v>
      </c>
      <c r="O38" s="179">
        <f t="shared" ref="O38:O69" si="87">N38*J38*Isw_max*0.5*Efficiency*Pout/(Pout+Pout2)</f>
        <v>1.6354982726547966</v>
      </c>
      <c r="P38" s="179">
        <f t="shared" si="64"/>
        <v>3.8940435063209446</v>
      </c>
      <c r="Q38" s="224">
        <f t="shared" si="6"/>
        <v>0.25960290042139628</v>
      </c>
      <c r="R38" s="224">
        <f t="shared" si="65"/>
        <v>0.10903321817698644</v>
      </c>
      <c r="S38" s="455">
        <f t="shared" si="66"/>
        <v>6.3</v>
      </c>
      <c r="T38" s="224">
        <f t="shared" si="67"/>
        <v>0.18431997455470736</v>
      </c>
      <c r="U38" s="224">
        <f t="shared" si="10"/>
        <v>0.42239994168787109</v>
      </c>
      <c r="V38" s="224">
        <f t="shared" si="11"/>
        <v>0.77386248858846607</v>
      </c>
      <c r="W38" s="204">
        <f t="shared" si="12"/>
        <v>350</v>
      </c>
      <c r="X38" s="455">
        <f t="shared" si="46"/>
        <v>350</v>
      </c>
      <c r="Z38" s="224">
        <f t="shared" si="13"/>
        <v>0.44022823537648331</v>
      </c>
      <c r="AA38" s="180">
        <f t="shared" si="14"/>
        <v>1.8482864844050828</v>
      </c>
      <c r="AB38" s="180">
        <f t="shared" si="68"/>
        <v>8.4231817558083441E-2</v>
      </c>
      <c r="AC38" s="180"/>
      <c r="AD38" s="180">
        <f t="shared" si="16"/>
        <v>1.217557251908397</v>
      </c>
      <c r="AE38" s="564">
        <f t="shared" si="69"/>
        <v>315.98437234584674</v>
      </c>
      <c r="AF38" s="547">
        <f t="shared" si="70"/>
        <v>3.6552440597785188E-2</v>
      </c>
      <c r="AH38" s="180">
        <f t="shared" si="71"/>
        <v>0.27023799035030482</v>
      </c>
      <c r="AI38" s="180">
        <f t="shared" si="72"/>
        <v>0.28999999999999998</v>
      </c>
      <c r="AJ38" s="180">
        <f t="shared" si="73"/>
        <v>1.1805624984833409</v>
      </c>
      <c r="AL38" s="564">
        <f t="shared" si="74"/>
        <v>33</v>
      </c>
      <c r="AM38" s="473">
        <f t="shared" si="75"/>
        <v>315.98437234584674</v>
      </c>
      <c r="AO38">
        <f t="shared" si="47"/>
        <v>33</v>
      </c>
      <c r="AP38" s="473">
        <f t="shared" si="24"/>
        <v>315.98437234584674</v>
      </c>
      <c r="AQ38" s="473"/>
      <c r="AR38" s="5">
        <f t="shared" si="48"/>
        <v>3.1647134716697134</v>
      </c>
      <c r="AS38" s="5">
        <f t="shared" si="25"/>
        <v>0.6645833333333333</v>
      </c>
      <c r="AT38" s="5">
        <f t="shared" si="49"/>
        <v>2.5001301383363801</v>
      </c>
      <c r="AU38" s="180">
        <f t="shared" si="50"/>
        <v>0.20999794745484396</v>
      </c>
      <c r="AW38" s="5">
        <f t="shared" si="76"/>
        <v>0.34811507936507935</v>
      </c>
      <c r="AX38" s="5">
        <f t="shared" si="77"/>
        <v>0.14620833333333333</v>
      </c>
      <c r="AY38" s="5">
        <f t="shared" si="28"/>
        <v>2.0053127151239712E-2</v>
      </c>
      <c r="AZ38" s="5"/>
      <c r="BA38" s="180">
        <f t="shared" si="51"/>
        <v>7.6726413055201906E-2</v>
      </c>
      <c r="BB38" s="180">
        <f t="shared" si="78"/>
        <v>8.8032375674134675E-2</v>
      </c>
      <c r="BC38" s="180">
        <f t="shared" si="79"/>
        <v>9.002530221164437E-2</v>
      </c>
      <c r="BD38" s="180"/>
      <c r="BE38" s="547">
        <f t="shared" si="31"/>
        <v>2.0604298611111103E-3</v>
      </c>
      <c r="BF38" s="547">
        <f t="shared" si="32"/>
        <v>3.3996758620689654E-2</v>
      </c>
      <c r="BG38" s="547">
        <f t="shared" si="33"/>
        <v>3.9498046543230839E-3</v>
      </c>
      <c r="BH38" s="547">
        <f t="shared" si="34"/>
        <v>2.5008132871581448E-2</v>
      </c>
      <c r="BI38">
        <f t="shared" si="35"/>
        <v>6.96E-3</v>
      </c>
      <c r="BJ38" s="473">
        <f t="shared" si="52"/>
        <v>71.975126007705285</v>
      </c>
      <c r="BK38" s="180">
        <f t="shared" si="80"/>
        <v>1.155E-2</v>
      </c>
      <c r="BL38" s="180">
        <f t="shared" si="81"/>
        <v>1.155E-2</v>
      </c>
      <c r="BM38" s="547"/>
      <c r="BO38" s="473">
        <f t="shared" si="53"/>
        <v>23.099999999999998</v>
      </c>
      <c r="BP38" s="547">
        <f t="shared" si="38"/>
        <v>6.4756367063492041E-4</v>
      </c>
      <c r="BQ38" s="547">
        <f t="shared" si="54"/>
        <v>2.7123947083911926E-4</v>
      </c>
      <c r="BR38" s="547">
        <f t="shared" si="82"/>
        <v>2.4313665114893701E-4</v>
      </c>
      <c r="BS38" s="547">
        <f t="shared" si="40"/>
        <v>4.0191018282750186E-3</v>
      </c>
      <c r="BT38" s="657">
        <f t="shared" si="83"/>
        <v>2.6574285714285713E-2</v>
      </c>
      <c r="BU38" s="473">
        <f t="shared" si="55"/>
        <v>31.755327335183708</v>
      </c>
      <c r="BV38" s="180">
        <f t="shared" si="56"/>
        <v>0.126830453342889</v>
      </c>
      <c r="BW38" s="5">
        <f t="shared" si="57"/>
        <v>0.70289999999999997</v>
      </c>
      <c r="BX38" s="180">
        <f t="shared" si="58"/>
        <v>0.84714258367653783</v>
      </c>
      <c r="BY38" s="5">
        <f t="shared" si="59"/>
        <v>84.714258367653784</v>
      </c>
      <c r="BZ38">
        <f t="shared" ref="BZ38:BZ69" si="88">F38/Iout*100</f>
        <v>33</v>
      </c>
      <c r="CB38" s="582">
        <f t="shared" si="84"/>
        <v>-50</v>
      </c>
      <c r="CC38">
        <f t="shared" si="85"/>
        <v>-50</v>
      </c>
    </row>
    <row r="39" spans="5:81" x14ac:dyDescent="0.25">
      <c r="E39" s="177">
        <v>34</v>
      </c>
      <c r="F39" s="224">
        <f t="shared" si="61"/>
        <v>3.4000000000000002E-2</v>
      </c>
      <c r="G39" s="224">
        <f t="shared" si="86"/>
        <v>3.4000000000000002E-2</v>
      </c>
      <c r="H39" s="224">
        <f t="shared" si="63"/>
        <v>0.2142</v>
      </c>
      <c r="I39" s="224">
        <f t="shared" si="62"/>
        <v>0.51</v>
      </c>
      <c r="J39" s="560">
        <f t="shared" si="1"/>
        <v>24</v>
      </c>
      <c r="K39" s="455">
        <f t="shared" si="2"/>
        <v>13.1</v>
      </c>
      <c r="L39" s="455">
        <f t="shared" si="3"/>
        <v>37.1</v>
      </c>
      <c r="M39" s="455"/>
      <c r="N39" s="224">
        <f t="shared" si="4"/>
        <v>0.35309973045822102</v>
      </c>
      <c r="O39" s="179">
        <f t="shared" si="87"/>
        <v>1.6354982726547966</v>
      </c>
      <c r="P39" s="179">
        <f t="shared" si="64"/>
        <v>3.8940435063209446</v>
      </c>
      <c r="Q39" s="224">
        <f t="shared" si="6"/>
        <v>0.25960290042139628</v>
      </c>
      <c r="R39" s="224">
        <f t="shared" si="65"/>
        <v>0.10903321817698644</v>
      </c>
      <c r="S39" s="455">
        <f t="shared" si="66"/>
        <v>6.3</v>
      </c>
      <c r="T39" s="224">
        <f t="shared" si="67"/>
        <v>0.18990542832909243</v>
      </c>
      <c r="U39" s="224">
        <f t="shared" si="10"/>
        <v>0.43519993992083683</v>
      </c>
      <c r="V39" s="224">
        <f t="shared" si="11"/>
        <v>0.79731286703054094</v>
      </c>
      <c r="W39" s="204">
        <f t="shared" si="12"/>
        <v>350</v>
      </c>
      <c r="X39" s="455">
        <f t="shared" si="46"/>
        <v>350</v>
      </c>
      <c r="Z39" s="224">
        <f t="shared" si="13"/>
        <v>0.44022823537648331</v>
      </c>
      <c r="AA39" s="180">
        <f t="shared" si="14"/>
        <v>1.8482864844050828</v>
      </c>
      <c r="AB39" s="180">
        <f t="shared" si="68"/>
        <v>8.4231817558083441E-2</v>
      </c>
      <c r="AC39" s="180"/>
      <c r="AD39" s="180">
        <f t="shared" si="16"/>
        <v>1.217557251908397</v>
      </c>
      <c r="AE39" s="564">
        <f t="shared" si="69"/>
        <v>325.55965635632691</v>
      </c>
      <c r="AF39" s="547">
        <f t="shared" si="70"/>
        <v>3.6552440597785188E-2</v>
      </c>
      <c r="AH39" s="180">
        <f t="shared" si="71"/>
        <v>0.27430194757157383</v>
      </c>
      <c r="AI39" s="180">
        <f t="shared" si="72"/>
        <v>0.28999999999999998</v>
      </c>
      <c r="AJ39" s="180">
        <f t="shared" si="73"/>
        <v>1.1860340893464725</v>
      </c>
      <c r="AL39" s="564">
        <f t="shared" si="74"/>
        <v>34</v>
      </c>
      <c r="AM39" s="473">
        <f t="shared" si="75"/>
        <v>325.55965635632691</v>
      </c>
      <c r="AO39">
        <f t="shared" si="47"/>
        <v>34</v>
      </c>
      <c r="AP39" s="473">
        <f t="shared" si="24"/>
        <v>325.55965635632691</v>
      </c>
      <c r="AQ39" s="473"/>
      <c r="AR39" s="5">
        <f t="shared" si="48"/>
        <v>3.0716336636794281</v>
      </c>
      <c r="AS39" s="5">
        <f t="shared" si="25"/>
        <v>0.6645833333333333</v>
      </c>
      <c r="AT39" s="5">
        <f t="shared" si="49"/>
        <v>2.4070503303460948</v>
      </c>
      <c r="AU39" s="180">
        <f t="shared" si="50"/>
        <v>0.21636152162014224</v>
      </c>
      <c r="AW39" s="5">
        <f t="shared" si="76"/>
        <v>0.35866402116402113</v>
      </c>
      <c r="AX39" s="5">
        <f t="shared" si="77"/>
        <v>0.15063888888888888</v>
      </c>
      <c r="AY39" s="5">
        <f t="shared" si="28"/>
        <v>1.9891596479943419E-2</v>
      </c>
      <c r="AZ39" s="5"/>
      <c r="BA39" s="180">
        <f t="shared" si="51"/>
        <v>7.7880258449010378E-2</v>
      </c>
      <c r="BB39" s="180">
        <f t="shared" si="78"/>
        <v>8.7677102393970974E-2</v>
      </c>
      <c r="BC39" s="180">
        <f t="shared" si="79"/>
        <v>8.9661986054724419E-2</v>
      </c>
      <c r="BD39" s="180"/>
      <c r="BE39" s="547">
        <f t="shared" si="31"/>
        <v>2.1228671296296283E-3</v>
      </c>
      <c r="BF39" s="547">
        <f t="shared" si="32"/>
        <v>3.5026963427377211E-2</v>
      </c>
      <c r="BG39" s="547">
        <f t="shared" si="33"/>
        <v>4.0694957044540864E-3</v>
      </c>
      <c r="BH39" s="547">
        <f t="shared" si="34"/>
        <v>2.5765955079811186E-2</v>
      </c>
      <c r="BI39">
        <f t="shared" si="35"/>
        <v>6.96E-3</v>
      </c>
      <c r="BJ39" s="473">
        <f t="shared" si="52"/>
        <v>73.945281341272093</v>
      </c>
      <c r="BK39" s="180">
        <f t="shared" si="80"/>
        <v>1.1900000000000001E-2</v>
      </c>
      <c r="BL39" s="180">
        <f t="shared" si="81"/>
        <v>1.1900000000000001E-2</v>
      </c>
      <c r="BM39" s="547"/>
      <c r="BO39" s="473">
        <f t="shared" si="53"/>
        <v>23.8</v>
      </c>
      <c r="BP39" s="547">
        <f t="shared" si="38"/>
        <v>6.6718681216931179E-4</v>
      </c>
      <c r="BQ39" s="547">
        <f t="shared" si="54"/>
        <v>2.6905459994710048E-4</v>
      </c>
      <c r="BR39" s="547">
        <f t="shared" si="82"/>
        <v>2.4117815229832788E-4</v>
      </c>
      <c r="BS39" s="547">
        <f t="shared" si="40"/>
        <v>4.3305339986753526E-3</v>
      </c>
      <c r="BT39" s="657">
        <f t="shared" si="83"/>
        <v>2.7379567099567095E-2</v>
      </c>
      <c r="BU39" s="473">
        <f t="shared" si="55"/>
        <v>32.887520662657188</v>
      </c>
      <c r="BV39" s="180">
        <f t="shared" si="56"/>
        <v>0.13063280200392927</v>
      </c>
      <c r="BW39" s="5">
        <f t="shared" si="57"/>
        <v>0.72419999999999995</v>
      </c>
      <c r="BX39" s="180">
        <f t="shared" si="58"/>
        <v>0.84718321325796664</v>
      </c>
      <c r="BY39" s="5">
        <f t="shared" si="59"/>
        <v>84.718321325796666</v>
      </c>
      <c r="BZ39">
        <f t="shared" si="88"/>
        <v>34</v>
      </c>
      <c r="CB39" s="582">
        <f t="shared" si="84"/>
        <v>-50</v>
      </c>
      <c r="CC39">
        <f t="shared" si="85"/>
        <v>-50</v>
      </c>
    </row>
    <row r="40" spans="5:81" x14ac:dyDescent="0.25">
      <c r="E40" s="177">
        <v>35</v>
      </c>
      <c r="F40" s="224">
        <f t="shared" ref="F40:F71" si="89">IF(PLOT_TYPE=1, E40/100*Iout_max, min_I*EXP(O40*rr/100))</f>
        <v>3.4999999999999996E-2</v>
      </c>
      <c r="G40" s="224">
        <f t="shared" si="86"/>
        <v>3.4999999999999996E-2</v>
      </c>
      <c r="H40" s="224">
        <f t="shared" si="63"/>
        <v>0.22049999999999997</v>
      </c>
      <c r="I40" s="224">
        <f t="shared" ref="I40:I71" si="90">Vout2*G40</f>
        <v>0.52499999999999991</v>
      </c>
      <c r="J40" s="560">
        <f t="shared" si="1"/>
        <v>24</v>
      </c>
      <c r="K40" s="455">
        <f t="shared" si="2"/>
        <v>13.1</v>
      </c>
      <c r="L40" s="455">
        <f t="shared" si="3"/>
        <v>37.1</v>
      </c>
      <c r="M40" s="455"/>
      <c r="N40" s="224">
        <f t="shared" si="4"/>
        <v>0.35309973045822102</v>
      </c>
      <c r="O40" s="179">
        <f t="shared" si="87"/>
        <v>1.6354982726547966</v>
      </c>
      <c r="P40" s="179">
        <f t="shared" si="64"/>
        <v>3.8940435063209446</v>
      </c>
      <c r="Q40" s="224">
        <f t="shared" si="6"/>
        <v>0.25960290042139628</v>
      </c>
      <c r="R40" s="224">
        <f t="shared" si="65"/>
        <v>0.10903321817698644</v>
      </c>
      <c r="S40" s="455">
        <f t="shared" si="66"/>
        <v>6.3</v>
      </c>
      <c r="T40" s="224">
        <f t="shared" si="67"/>
        <v>0.19549088210347748</v>
      </c>
      <c r="U40" s="224">
        <f t="shared" si="10"/>
        <v>0.44799993815380257</v>
      </c>
      <c r="V40" s="224">
        <f t="shared" si="11"/>
        <v>0.82076324547261548</v>
      </c>
      <c r="W40" s="204">
        <f t="shared" si="12"/>
        <v>350</v>
      </c>
      <c r="X40" s="455">
        <f t="shared" si="46"/>
        <v>350</v>
      </c>
      <c r="Z40" s="224">
        <f t="shared" si="13"/>
        <v>0.44022823537648331</v>
      </c>
      <c r="AA40" s="180">
        <f t="shared" si="14"/>
        <v>1.8482864844050828</v>
      </c>
      <c r="AB40" s="180">
        <f t="shared" si="68"/>
        <v>8.4231817558083441E-2</v>
      </c>
      <c r="AC40" s="180"/>
      <c r="AD40" s="180">
        <f t="shared" si="16"/>
        <v>1.217557251908397</v>
      </c>
      <c r="AE40" s="564">
        <f t="shared" si="69"/>
        <v>335.13494036680709</v>
      </c>
      <c r="AF40" s="547">
        <f t="shared" si="70"/>
        <v>3.6552440597785188E-2</v>
      </c>
      <c r="AH40" s="180">
        <f t="shared" si="71"/>
        <v>0.27830656739384618</v>
      </c>
      <c r="AI40" s="180">
        <f t="shared" si="72"/>
        <v>0.28999999999999998</v>
      </c>
      <c r="AJ40" s="180">
        <f t="shared" si="73"/>
        <v>1.191505680209604</v>
      </c>
      <c r="AL40" s="564">
        <f t="shared" si="74"/>
        <v>34.999999999999993</v>
      </c>
      <c r="AM40" s="473">
        <f t="shared" si="75"/>
        <v>335.13494036680709</v>
      </c>
      <c r="AO40">
        <f t="shared" si="47"/>
        <v>34.999999999999993</v>
      </c>
      <c r="AP40" s="473">
        <f t="shared" si="24"/>
        <v>335.13494036680709</v>
      </c>
      <c r="AQ40" s="473"/>
      <c r="AR40" s="5">
        <f t="shared" si="48"/>
        <v>2.9838727018600162</v>
      </c>
      <c r="AS40" s="5">
        <f t="shared" si="25"/>
        <v>0.6645833333333333</v>
      </c>
      <c r="AT40" s="5">
        <f t="shared" si="49"/>
        <v>2.3192893685266829</v>
      </c>
      <c r="AU40" s="180">
        <f t="shared" si="50"/>
        <v>0.22272509578544053</v>
      </c>
      <c r="AW40" s="5">
        <f t="shared" si="76"/>
        <v>0.36921296296296291</v>
      </c>
      <c r="AX40" s="5">
        <f t="shared" si="77"/>
        <v>0.1550694444444444</v>
      </c>
      <c r="AY40" s="5">
        <f t="shared" si="28"/>
        <v>1.9730065808647123E-2</v>
      </c>
      <c r="AZ40" s="5"/>
      <c r="BA40" s="180">
        <f t="shared" si="51"/>
        <v>7.9017256671260416E-2</v>
      </c>
      <c r="BB40" s="180">
        <f t="shared" si="78"/>
        <v>8.7320383654526851E-2</v>
      </c>
      <c r="BC40" s="180">
        <f t="shared" si="79"/>
        <v>8.9297191715402166E-2</v>
      </c>
      <c r="BD40" s="180"/>
      <c r="BE40" s="547">
        <f t="shared" si="31"/>
        <v>2.1853043981481467E-3</v>
      </c>
      <c r="BF40" s="547">
        <f t="shared" si="32"/>
        <v>3.6057168234064775E-2</v>
      </c>
      <c r="BG40" s="547">
        <f t="shared" si="33"/>
        <v>4.1891867545850881E-3</v>
      </c>
      <c r="BH40" s="547">
        <f t="shared" si="34"/>
        <v>2.6523777288040926E-2</v>
      </c>
      <c r="BI40">
        <f t="shared" si="35"/>
        <v>6.96E-3</v>
      </c>
      <c r="BJ40" s="473">
        <f t="shared" si="52"/>
        <v>75.915436674838929</v>
      </c>
      <c r="BK40" s="180">
        <f t="shared" si="80"/>
        <v>1.2249999999999999E-2</v>
      </c>
      <c r="BL40" s="180">
        <f t="shared" si="81"/>
        <v>1.2249999999999999E-2</v>
      </c>
      <c r="BM40" s="547"/>
      <c r="BO40" s="473">
        <f t="shared" si="53"/>
        <v>24.499999999999996</v>
      </c>
      <c r="BP40" s="547">
        <f t="shared" si="38"/>
        <v>6.8680995370370328E-4</v>
      </c>
      <c r="BQ40" s="547">
        <f t="shared" si="54"/>
        <v>2.6686972905508164E-4</v>
      </c>
      <c r="BR40" s="547">
        <f t="shared" si="82"/>
        <v>2.3921965344771864E-4</v>
      </c>
      <c r="BS40" s="547">
        <f t="shared" si="40"/>
        <v>4.656013928415176E-3</v>
      </c>
      <c r="BT40" s="657">
        <f t="shared" si="83"/>
        <v>2.8184848484848479E-2</v>
      </c>
      <c r="BU40" s="473">
        <f t="shared" si="55"/>
        <v>34.033761749470159</v>
      </c>
      <c r="BV40" s="180">
        <f t="shared" si="56"/>
        <v>0.13444919842430908</v>
      </c>
      <c r="BW40" s="5">
        <f t="shared" si="57"/>
        <v>0.74549999999999983</v>
      </c>
      <c r="BX40" s="180">
        <f t="shared" si="58"/>
        <v>0.84720799943330594</v>
      </c>
      <c r="BY40" s="5">
        <f t="shared" si="59"/>
        <v>84.72079994333059</v>
      </c>
      <c r="BZ40">
        <f t="shared" si="88"/>
        <v>34.999999999999993</v>
      </c>
      <c r="CB40" s="582">
        <f t="shared" si="84"/>
        <v>-50</v>
      </c>
      <c r="CC40">
        <f t="shared" si="85"/>
        <v>-50</v>
      </c>
    </row>
    <row r="41" spans="5:81" x14ac:dyDescent="0.25">
      <c r="E41" s="177">
        <v>36</v>
      </c>
      <c r="F41" s="224">
        <f t="shared" si="89"/>
        <v>3.5999999999999997E-2</v>
      </c>
      <c r="G41" s="224">
        <f t="shared" si="86"/>
        <v>3.5999999999999997E-2</v>
      </c>
      <c r="H41" s="224">
        <f t="shared" si="63"/>
        <v>0.22679999999999997</v>
      </c>
      <c r="I41" s="224">
        <f t="shared" si="90"/>
        <v>0.53999999999999992</v>
      </c>
      <c r="J41" s="560">
        <f t="shared" si="1"/>
        <v>24</v>
      </c>
      <c r="K41" s="455">
        <f t="shared" si="2"/>
        <v>13.1</v>
      </c>
      <c r="L41" s="455">
        <f t="shared" si="3"/>
        <v>37.1</v>
      </c>
      <c r="M41" s="455"/>
      <c r="N41" s="224">
        <f t="shared" si="4"/>
        <v>0.35309973045822102</v>
      </c>
      <c r="O41" s="179">
        <f t="shared" si="87"/>
        <v>1.6354982726547966</v>
      </c>
      <c r="P41" s="179">
        <f t="shared" si="64"/>
        <v>3.8940435063209446</v>
      </c>
      <c r="Q41" s="224">
        <f t="shared" si="6"/>
        <v>0.25960290042139628</v>
      </c>
      <c r="R41" s="224">
        <f t="shared" si="65"/>
        <v>0.10903321817698644</v>
      </c>
      <c r="S41" s="455">
        <f t="shared" si="66"/>
        <v>6.3</v>
      </c>
      <c r="T41" s="224">
        <f t="shared" si="67"/>
        <v>0.20107633587786256</v>
      </c>
      <c r="U41" s="224">
        <f t="shared" si="10"/>
        <v>0.46079993638676842</v>
      </c>
      <c r="V41" s="224">
        <f t="shared" si="11"/>
        <v>0.84421362391469024</v>
      </c>
      <c r="W41" s="204">
        <f t="shared" si="12"/>
        <v>350</v>
      </c>
      <c r="X41" s="455">
        <f t="shared" si="46"/>
        <v>350</v>
      </c>
      <c r="Z41" s="224">
        <f t="shared" si="13"/>
        <v>0.44022823537648331</v>
      </c>
      <c r="AA41" s="180">
        <f t="shared" si="14"/>
        <v>1.8482864844050828</v>
      </c>
      <c r="AB41" s="180">
        <f t="shared" si="68"/>
        <v>8.4231817558083441E-2</v>
      </c>
      <c r="AC41" s="180"/>
      <c r="AD41" s="180">
        <f t="shared" si="16"/>
        <v>1.217557251908397</v>
      </c>
      <c r="AE41" s="564">
        <f t="shared" si="69"/>
        <v>344.71022437728732</v>
      </c>
      <c r="AF41" s="547">
        <f t="shared" si="70"/>
        <v>3.6552440597785188E-2</v>
      </c>
      <c r="AH41" s="180">
        <f t="shared" si="71"/>
        <v>0.28225437546215726</v>
      </c>
      <c r="AI41" s="180">
        <f t="shared" si="72"/>
        <v>0.28999999999999998</v>
      </c>
      <c r="AJ41" s="180">
        <f t="shared" si="73"/>
        <v>1.1969772710727355</v>
      </c>
      <c r="AL41" s="564">
        <f t="shared" si="74"/>
        <v>36</v>
      </c>
      <c r="AM41" s="473">
        <f t="shared" si="75"/>
        <v>344.71022437728732</v>
      </c>
      <c r="AO41">
        <f t="shared" si="47"/>
        <v>36</v>
      </c>
      <c r="AP41" s="473">
        <f t="shared" si="24"/>
        <v>344.71022437728732</v>
      </c>
      <c r="AQ41" s="473"/>
      <c r="AR41" s="5">
        <f t="shared" si="48"/>
        <v>2.9009873490305709</v>
      </c>
      <c r="AS41" s="5">
        <f t="shared" si="25"/>
        <v>0.6645833333333333</v>
      </c>
      <c r="AT41" s="5">
        <f t="shared" si="49"/>
        <v>2.2364040156972376</v>
      </c>
      <c r="AU41" s="180">
        <f t="shared" si="50"/>
        <v>0.22908866995073884</v>
      </c>
      <c r="AW41" s="5">
        <f t="shared" si="76"/>
        <v>0.37976190476190474</v>
      </c>
      <c r="AX41" s="5">
        <f t="shared" si="77"/>
        <v>0.1595</v>
      </c>
      <c r="AY41" s="5">
        <f t="shared" si="28"/>
        <v>1.956853513735082E-2</v>
      </c>
      <c r="AZ41" s="5"/>
      <c r="BA41" s="180">
        <f t="shared" si="51"/>
        <v>8.0138124807229191E-2</v>
      </c>
      <c r="BB41" s="180">
        <f t="shared" si="78"/>
        <v>8.6962201667992831E-2</v>
      </c>
      <c r="BC41" s="180">
        <f t="shared" si="79"/>
        <v>8.8930901003177659E-2</v>
      </c>
      <c r="BD41" s="180"/>
      <c r="BE41" s="547">
        <f t="shared" si="31"/>
        <v>2.2477416666666647E-3</v>
      </c>
      <c r="BF41" s="547">
        <f t="shared" si="32"/>
        <v>3.7087373040752346E-2</v>
      </c>
      <c r="BG41" s="547">
        <f t="shared" si="33"/>
        <v>4.3088778047160907E-3</v>
      </c>
      <c r="BH41" s="547">
        <f t="shared" si="34"/>
        <v>2.7281599496270667E-2</v>
      </c>
      <c r="BI41">
        <f t="shared" si="35"/>
        <v>6.96E-3</v>
      </c>
      <c r="BJ41" s="473">
        <f t="shared" si="52"/>
        <v>77.885592008405752</v>
      </c>
      <c r="BK41" s="180">
        <f t="shared" si="80"/>
        <v>1.2599999999999998E-2</v>
      </c>
      <c r="BL41" s="180">
        <f t="shared" si="81"/>
        <v>1.2599999999999998E-2</v>
      </c>
      <c r="BM41" s="547"/>
      <c r="BO41" s="473">
        <f t="shared" si="53"/>
        <v>25.199999999999996</v>
      </c>
      <c r="BP41" s="547">
        <f t="shared" si="38"/>
        <v>7.0643309523809466E-4</v>
      </c>
      <c r="BQ41" s="547">
        <f t="shared" si="54"/>
        <v>2.6468485816306297E-4</v>
      </c>
      <c r="BR41" s="547">
        <f t="shared" si="82"/>
        <v>2.3726115459710956E-4</v>
      </c>
      <c r="BS41" s="547">
        <f t="shared" si="40"/>
        <v>4.9957467195930359E-3</v>
      </c>
      <c r="BT41" s="657">
        <f t="shared" si="83"/>
        <v>2.8990129870129867E-2</v>
      </c>
      <c r="BU41" s="473">
        <f t="shared" si="55"/>
        <v>35.194255697721175</v>
      </c>
      <c r="BV41" s="180">
        <f t="shared" si="56"/>
        <v>0.13827984770612695</v>
      </c>
      <c r="BW41" s="5">
        <f t="shared" si="57"/>
        <v>0.76679999999999993</v>
      </c>
      <c r="BX41" s="180">
        <f t="shared" si="58"/>
        <v>0.84721806804494737</v>
      </c>
      <c r="BY41" s="5">
        <f t="shared" si="59"/>
        <v>84.721806804494733</v>
      </c>
      <c r="BZ41">
        <f t="shared" si="88"/>
        <v>35.999999999999993</v>
      </c>
      <c r="CB41" s="582">
        <f t="shared" si="84"/>
        <v>-50</v>
      </c>
      <c r="CC41">
        <f t="shared" si="85"/>
        <v>-50</v>
      </c>
    </row>
    <row r="42" spans="5:81" x14ac:dyDescent="0.25">
      <c r="E42" s="177">
        <v>37</v>
      </c>
      <c r="F42" s="224">
        <f t="shared" si="89"/>
        <v>3.6999999999999998E-2</v>
      </c>
      <c r="G42" s="224">
        <f t="shared" si="86"/>
        <v>3.6999999999999998E-2</v>
      </c>
      <c r="H42" s="224">
        <f t="shared" si="63"/>
        <v>0.23309999999999997</v>
      </c>
      <c r="I42" s="224">
        <f t="shared" si="90"/>
        <v>0.55499999999999994</v>
      </c>
      <c r="J42" s="560">
        <f t="shared" si="1"/>
        <v>24</v>
      </c>
      <c r="K42" s="455">
        <f t="shared" si="2"/>
        <v>13.1</v>
      </c>
      <c r="L42" s="455">
        <f t="shared" si="3"/>
        <v>37.1</v>
      </c>
      <c r="M42" s="455"/>
      <c r="N42" s="224">
        <f t="shared" si="4"/>
        <v>0.35309973045822102</v>
      </c>
      <c r="O42" s="179">
        <f t="shared" si="87"/>
        <v>1.6354982726547966</v>
      </c>
      <c r="P42" s="179">
        <f t="shared" si="64"/>
        <v>3.8940435063209446</v>
      </c>
      <c r="Q42" s="224">
        <f t="shared" si="6"/>
        <v>0.25960290042139628</v>
      </c>
      <c r="R42" s="224">
        <f t="shared" si="65"/>
        <v>0.10903321817698644</v>
      </c>
      <c r="S42" s="455">
        <f t="shared" si="66"/>
        <v>6.3</v>
      </c>
      <c r="T42" s="224">
        <f t="shared" si="67"/>
        <v>0.20666178965224763</v>
      </c>
      <c r="U42" s="224">
        <f t="shared" si="10"/>
        <v>0.47359993461973415</v>
      </c>
      <c r="V42" s="224">
        <f t="shared" si="11"/>
        <v>0.86766400235676489</v>
      </c>
      <c r="W42" s="204">
        <f t="shared" si="12"/>
        <v>350</v>
      </c>
      <c r="X42" s="455">
        <f t="shared" si="46"/>
        <v>350</v>
      </c>
      <c r="Z42" s="224">
        <f t="shared" si="13"/>
        <v>0.44022823537648331</v>
      </c>
      <c r="AA42" s="180">
        <f t="shared" si="14"/>
        <v>1.8482864844050828</v>
      </c>
      <c r="AB42" s="180">
        <f t="shared" si="68"/>
        <v>8.4231817558083441E-2</v>
      </c>
      <c r="AC42" s="180"/>
      <c r="AD42" s="180">
        <f t="shared" si="16"/>
        <v>1.217557251908397</v>
      </c>
      <c r="AE42" s="564">
        <f t="shared" si="69"/>
        <v>354.28550838776755</v>
      </c>
      <c r="AF42" s="547">
        <f t="shared" si="70"/>
        <v>3.6552440597785188E-2</v>
      </c>
      <c r="AH42" s="180">
        <f t="shared" si="71"/>
        <v>0.28614772317898929</v>
      </c>
      <c r="AI42" s="180">
        <f t="shared" si="72"/>
        <v>0.28999999999999998</v>
      </c>
      <c r="AJ42" s="180">
        <f t="shared" si="73"/>
        <v>1.2</v>
      </c>
      <c r="AL42" s="564">
        <f t="shared" si="74"/>
        <v>37</v>
      </c>
      <c r="AM42" s="473">
        <f t="shared" si="75"/>
        <v>350</v>
      </c>
      <c r="AO42">
        <f t="shared" si="47"/>
        <v>37</v>
      </c>
      <c r="AP42" s="473">
        <f t="shared" si="24"/>
        <v>350</v>
      </c>
      <c r="AQ42" s="473"/>
      <c r="AR42" s="5">
        <f t="shared" si="48"/>
        <v>2.8571428571428572</v>
      </c>
      <c r="AS42" s="5">
        <f t="shared" si="25"/>
        <v>0.6645833333333333</v>
      </c>
      <c r="AT42" s="5">
        <f t="shared" si="49"/>
        <v>2.1925595238095239</v>
      </c>
      <c r="AU42" s="180">
        <f t="shared" si="50"/>
        <v>0.23260416666666664</v>
      </c>
      <c r="AW42" s="5">
        <f t="shared" si="76"/>
        <v>0.39031084656084652</v>
      </c>
      <c r="AX42" s="5">
        <f t="shared" si="77"/>
        <v>0.16393055555555552</v>
      </c>
      <c r="AY42" s="5">
        <f t="shared" si="28"/>
        <v>1.9717809606481475E-2</v>
      </c>
      <c r="AZ42" s="5"/>
      <c r="BA42" s="180">
        <f t="shared" si="51"/>
        <v>8.0750666491917492E-2</v>
      </c>
      <c r="BB42" s="180">
        <f t="shared" si="78"/>
        <v>8.6763693325424759E-2</v>
      </c>
      <c r="BC42" s="180">
        <f t="shared" si="79"/>
        <v>8.8727898716866857E-2</v>
      </c>
      <c r="BD42" s="180"/>
      <c r="BE42" s="547">
        <f t="shared" si="31"/>
        <v>2.2822345486111103E-3</v>
      </c>
      <c r="BF42" s="547">
        <f t="shared" si="32"/>
        <v>3.7656500000000002E-2</v>
      </c>
      <c r="BG42" s="547">
        <f t="shared" si="33"/>
        <v>4.3749999999999995E-3</v>
      </c>
      <c r="BH42" s="547">
        <f t="shared" si="34"/>
        <v>2.7700251250000002E-2</v>
      </c>
      <c r="BI42">
        <f t="shared" si="35"/>
        <v>6.96E-3</v>
      </c>
      <c r="BJ42" s="473">
        <f t="shared" si="52"/>
        <v>78.97398579861111</v>
      </c>
      <c r="BK42" s="180">
        <f t="shared" si="80"/>
        <v>1.2949999999999998E-2</v>
      </c>
      <c r="BL42" s="180">
        <f t="shared" si="81"/>
        <v>1.2949999999999998E-2</v>
      </c>
      <c r="BM42" s="547"/>
      <c r="BO42" s="473">
        <f t="shared" si="53"/>
        <v>25.899999999999995</v>
      </c>
      <c r="BP42" s="547">
        <f t="shared" si="38"/>
        <v>7.1727371527777748E-4</v>
      </c>
      <c r="BQ42" s="547">
        <f t="shared" si="54"/>
        <v>2.6347784678139253E-4</v>
      </c>
      <c r="BR42" s="547">
        <f t="shared" si="82"/>
        <v>2.3617920032131749E-4</v>
      </c>
      <c r="BS42" s="547">
        <f t="shared" si="40"/>
        <v>5.1896146385940149E-3</v>
      </c>
      <c r="BT42" s="657">
        <f t="shared" si="83"/>
        <v>2.9435000000000003E-2</v>
      </c>
      <c r="BU42" s="473">
        <f t="shared" si="55"/>
        <v>35.841545400974503</v>
      </c>
      <c r="BV42" s="180">
        <f t="shared" si="56"/>
        <v>0.14071553119958563</v>
      </c>
      <c r="BW42" s="5">
        <f t="shared" si="57"/>
        <v>0.78809999999999991</v>
      </c>
      <c r="BX42" s="180">
        <f t="shared" si="58"/>
        <v>0.8485000234461535</v>
      </c>
      <c r="BY42" s="5">
        <f t="shared" si="59"/>
        <v>84.850002344615348</v>
      </c>
      <c r="BZ42">
        <f t="shared" si="88"/>
        <v>36.999999999999993</v>
      </c>
      <c r="CB42" s="582">
        <f t="shared" si="84"/>
        <v>-50</v>
      </c>
      <c r="CC42">
        <f t="shared" si="85"/>
        <v>-50</v>
      </c>
    </row>
    <row r="43" spans="5:81" x14ac:dyDescent="0.25">
      <c r="E43" s="177">
        <v>38</v>
      </c>
      <c r="F43" s="224">
        <f t="shared" si="89"/>
        <v>3.8000000000000006E-2</v>
      </c>
      <c r="G43" s="224">
        <f t="shared" si="86"/>
        <v>3.8000000000000006E-2</v>
      </c>
      <c r="H43" s="224">
        <f t="shared" si="63"/>
        <v>0.23940000000000003</v>
      </c>
      <c r="I43" s="224">
        <f t="shared" si="90"/>
        <v>0.57000000000000006</v>
      </c>
      <c r="J43" s="560">
        <f t="shared" si="1"/>
        <v>24</v>
      </c>
      <c r="K43" s="455">
        <f t="shared" si="2"/>
        <v>13.1</v>
      </c>
      <c r="L43" s="455">
        <f t="shared" si="3"/>
        <v>37.1</v>
      </c>
      <c r="M43" s="455"/>
      <c r="N43" s="224">
        <f t="shared" si="4"/>
        <v>0.35309973045822102</v>
      </c>
      <c r="O43" s="179">
        <f t="shared" si="87"/>
        <v>1.6354982726547966</v>
      </c>
      <c r="P43" s="179">
        <f t="shared" si="64"/>
        <v>3.8940435063209446</v>
      </c>
      <c r="Q43" s="224">
        <f t="shared" si="6"/>
        <v>0.25960290042139628</v>
      </c>
      <c r="R43" s="224">
        <f t="shared" si="65"/>
        <v>0.10903321817698644</v>
      </c>
      <c r="S43" s="455">
        <f t="shared" si="66"/>
        <v>6.3</v>
      </c>
      <c r="T43" s="224">
        <f t="shared" si="67"/>
        <v>0.21224724342663276</v>
      </c>
      <c r="U43" s="224">
        <f t="shared" si="10"/>
        <v>0.48639993285270011</v>
      </c>
      <c r="V43" s="224">
        <f t="shared" si="11"/>
        <v>0.89111438079883998</v>
      </c>
      <c r="W43" s="204">
        <f t="shared" si="12"/>
        <v>350</v>
      </c>
      <c r="X43" s="455">
        <f t="shared" si="46"/>
        <v>350</v>
      </c>
      <c r="Z43" s="224">
        <f t="shared" si="13"/>
        <v>0.44022823537648331</v>
      </c>
      <c r="AA43" s="180">
        <f t="shared" si="14"/>
        <v>1.8482864844050828</v>
      </c>
      <c r="AB43" s="180">
        <f t="shared" si="68"/>
        <v>8.4231817558083441E-2</v>
      </c>
      <c r="AC43" s="180"/>
      <c r="AD43" s="180">
        <f t="shared" si="16"/>
        <v>1.217557251908397</v>
      </c>
      <c r="AE43" s="564">
        <f t="shared" si="69"/>
        <v>363.86079239824778</v>
      </c>
      <c r="AF43" s="547">
        <f t="shared" si="70"/>
        <v>3.6552440597785188E-2</v>
      </c>
      <c r="AH43" s="180">
        <f t="shared" si="71"/>
        <v>0.28998880408303096</v>
      </c>
      <c r="AI43" s="180">
        <f t="shared" si="72"/>
        <v>0.28999999999999998</v>
      </c>
      <c r="AJ43" s="180">
        <f t="shared" si="73"/>
        <v>1.2</v>
      </c>
      <c r="AL43" s="564">
        <f t="shared" si="74"/>
        <v>38.000000000000007</v>
      </c>
      <c r="AM43" s="473">
        <f t="shared" si="75"/>
        <v>350</v>
      </c>
      <c r="AO43">
        <f t="shared" si="47"/>
        <v>38.000000000000007</v>
      </c>
      <c r="AP43" s="473">
        <f t="shared" si="24"/>
        <v>350</v>
      </c>
      <c r="AQ43" s="473"/>
      <c r="AR43" s="5">
        <f t="shared" si="48"/>
        <v>2.8571428571428572</v>
      </c>
      <c r="AS43" s="5">
        <f t="shared" si="25"/>
        <v>0.6645833333333333</v>
      </c>
      <c r="AT43" s="5">
        <f t="shared" si="49"/>
        <v>2.1925595238095239</v>
      </c>
      <c r="AU43" s="180">
        <f t="shared" si="50"/>
        <v>0.23260416666666664</v>
      </c>
      <c r="AW43" s="5">
        <f t="shared" si="76"/>
        <v>0.40085978835978836</v>
      </c>
      <c r="AX43" s="5">
        <f t="shared" si="77"/>
        <v>0.16836111111111113</v>
      </c>
      <c r="AY43" s="5">
        <f t="shared" si="28"/>
        <v>2.0250723379629628E-2</v>
      </c>
      <c r="AZ43" s="5"/>
      <c r="BA43" s="180">
        <f t="shared" si="51"/>
        <v>8.0750666491917492E-2</v>
      </c>
      <c r="BB43" s="180">
        <f t="shared" si="78"/>
        <v>8.6763693325424759E-2</v>
      </c>
      <c r="BC43" s="180">
        <f t="shared" si="79"/>
        <v>8.8727898716866857E-2</v>
      </c>
      <c r="BD43" s="180"/>
      <c r="BE43" s="547">
        <f t="shared" si="31"/>
        <v>2.2822345486111103E-3</v>
      </c>
      <c r="BF43" s="547">
        <f t="shared" si="32"/>
        <v>3.7656500000000002E-2</v>
      </c>
      <c r="BG43" s="547">
        <f t="shared" si="33"/>
        <v>4.3749999999999995E-3</v>
      </c>
      <c r="BH43" s="547">
        <f t="shared" si="34"/>
        <v>2.7700251250000002E-2</v>
      </c>
      <c r="BI43">
        <f t="shared" si="35"/>
        <v>6.96E-3</v>
      </c>
      <c r="BJ43" s="473">
        <f t="shared" si="52"/>
        <v>78.97398579861111</v>
      </c>
      <c r="BK43" s="180">
        <f t="shared" si="80"/>
        <v>1.3300000000000001E-2</v>
      </c>
      <c r="BL43" s="180">
        <f t="shared" si="81"/>
        <v>1.3300000000000001E-2</v>
      </c>
      <c r="BM43" s="547"/>
      <c r="BO43" s="473">
        <f t="shared" si="53"/>
        <v>26.6</v>
      </c>
      <c r="BP43" s="547">
        <f t="shared" si="38"/>
        <v>7.1727371527777748E-4</v>
      </c>
      <c r="BQ43" s="547">
        <f t="shared" si="54"/>
        <v>2.6347784678139253E-4</v>
      </c>
      <c r="BR43" s="547">
        <f t="shared" si="82"/>
        <v>2.3617920032131749E-4</v>
      </c>
      <c r="BS43" s="547">
        <f t="shared" si="40"/>
        <v>5.1896146385940149E-3</v>
      </c>
      <c r="BT43" s="657">
        <f t="shared" si="83"/>
        <v>2.9435000000000003E-2</v>
      </c>
      <c r="BU43" s="473">
        <f t="shared" si="55"/>
        <v>35.841545400974503</v>
      </c>
      <c r="BV43" s="180">
        <f t="shared" si="56"/>
        <v>0.14141553119958561</v>
      </c>
      <c r="BW43" s="5">
        <f t="shared" si="57"/>
        <v>0.80940000000000012</v>
      </c>
      <c r="BX43" s="180">
        <f t="shared" si="58"/>
        <v>0.85126922461902754</v>
      </c>
      <c r="BY43" s="5">
        <f t="shared" si="59"/>
        <v>85.126922461902751</v>
      </c>
      <c r="BZ43">
        <f t="shared" si="88"/>
        <v>38.000000000000007</v>
      </c>
      <c r="CB43" s="582">
        <f t="shared" si="84"/>
        <v>-50</v>
      </c>
      <c r="CC43">
        <f t="shared" si="85"/>
        <v>-50</v>
      </c>
    </row>
    <row r="44" spans="5:81" x14ac:dyDescent="0.25">
      <c r="E44" s="177">
        <v>39</v>
      </c>
      <c r="F44" s="224">
        <f t="shared" si="89"/>
        <v>3.9000000000000007E-2</v>
      </c>
      <c r="G44" s="224">
        <f t="shared" si="86"/>
        <v>3.9000000000000007E-2</v>
      </c>
      <c r="H44" s="224">
        <f t="shared" si="63"/>
        <v>0.24570000000000003</v>
      </c>
      <c r="I44" s="224">
        <f t="shared" si="90"/>
        <v>0.58500000000000008</v>
      </c>
      <c r="J44" s="560">
        <f t="shared" si="1"/>
        <v>24</v>
      </c>
      <c r="K44" s="455">
        <f t="shared" si="2"/>
        <v>13.1</v>
      </c>
      <c r="L44" s="455">
        <f t="shared" si="3"/>
        <v>37.1</v>
      </c>
      <c r="M44" s="455"/>
      <c r="N44" s="224">
        <f t="shared" si="4"/>
        <v>0.35309973045822102</v>
      </c>
      <c r="O44" s="179">
        <f t="shared" si="87"/>
        <v>1.6354982726547966</v>
      </c>
      <c r="P44" s="179">
        <f t="shared" si="64"/>
        <v>3.8940435063209446</v>
      </c>
      <c r="Q44" s="224">
        <f t="shared" si="6"/>
        <v>0.25960290042139628</v>
      </c>
      <c r="R44" s="224">
        <f t="shared" si="65"/>
        <v>0.10903321817698644</v>
      </c>
      <c r="S44" s="455">
        <f t="shared" si="66"/>
        <v>6.3</v>
      </c>
      <c r="T44" s="224">
        <f t="shared" si="67"/>
        <v>0.21783269720101783</v>
      </c>
      <c r="U44" s="224">
        <f t="shared" si="10"/>
        <v>0.49919993108566596</v>
      </c>
      <c r="V44" s="224">
        <f t="shared" si="11"/>
        <v>0.91456475924091463</v>
      </c>
      <c r="W44" s="204">
        <f t="shared" si="12"/>
        <v>350</v>
      </c>
      <c r="X44" s="455">
        <f t="shared" si="46"/>
        <v>350</v>
      </c>
      <c r="Z44" s="224">
        <f t="shared" si="13"/>
        <v>0.44022823537648331</v>
      </c>
      <c r="AA44" s="180">
        <f t="shared" si="14"/>
        <v>1.8482864844050828</v>
      </c>
      <c r="AB44" s="180">
        <f t="shared" si="68"/>
        <v>8.4231817558083441E-2</v>
      </c>
      <c r="AC44" s="180"/>
      <c r="AD44" s="180">
        <f t="shared" si="16"/>
        <v>1.217557251908397</v>
      </c>
      <c r="AE44" s="564">
        <f t="shared" si="69"/>
        <v>373.43607640872796</v>
      </c>
      <c r="AF44" s="547">
        <f t="shared" si="70"/>
        <v>3.6552440597785188E-2</v>
      </c>
      <c r="AH44" s="180">
        <f t="shared" si="71"/>
        <v>0.29377966830006041</v>
      </c>
      <c r="AI44" s="180">
        <f t="shared" si="72"/>
        <v>0.29377966830006041</v>
      </c>
      <c r="AJ44" s="180">
        <f t="shared" si="73"/>
        <v>1.2027997542963411</v>
      </c>
      <c r="AL44" s="564">
        <f t="shared" si="74"/>
        <v>39.000000000000007</v>
      </c>
      <c r="AM44" s="473">
        <f t="shared" si="75"/>
        <v>350</v>
      </c>
      <c r="AO44">
        <f t="shared" si="47"/>
        <v>39.000000000000007</v>
      </c>
      <c r="AP44" s="473">
        <f t="shared" si="24"/>
        <v>350</v>
      </c>
      <c r="AQ44" s="473"/>
      <c r="AR44" s="5">
        <f t="shared" si="48"/>
        <v>2.8571428571428572</v>
      </c>
      <c r="AS44" s="5">
        <f t="shared" si="25"/>
        <v>0.67324507318763849</v>
      </c>
      <c r="AT44" s="5">
        <f t="shared" si="49"/>
        <v>2.1838977839552189</v>
      </c>
      <c r="AU44" s="180">
        <f t="shared" si="50"/>
        <v>0.23563577561567348</v>
      </c>
      <c r="AW44" s="5">
        <f t="shared" si="76"/>
        <v>0.41677075959234766</v>
      </c>
      <c r="AX44" s="5">
        <f t="shared" si="77"/>
        <v>0.17504371902878602</v>
      </c>
      <c r="AY44" s="5">
        <f t="shared" si="28"/>
        <v>2.0701531077075511E-2</v>
      </c>
      <c r="AZ44" s="5"/>
      <c r="BA44" s="180">
        <f t="shared" si="51"/>
        <v>8.2334475440266799E-2</v>
      </c>
      <c r="BB44" s="180">
        <f t="shared" si="78"/>
        <v>8.7720727835173373E-2</v>
      </c>
      <c r="BC44" s="180">
        <f t="shared" si="79"/>
        <v>8.970659911325303E-2</v>
      </c>
      <c r="BD44" s="180"/>
      <c r="BE44" s="547">
        <f t="shared" si="31"/>
        <v>2.3726380461083635E-3</v>
      </c>
      <c r="BF44" s="547">
        <f t="shared" si="32"/>
        <v>3.8147289928762845E-2</v>
      </c>
      <c r="BG44" s="547">
        <f t="shared" si="33"/>
        <v>4.3749999999999995E-3</v>
      </c>
      <c r="BH44" s="547">
        <f t="shared" si="34"/>
        <v>2.7700251250000002E-2</v>
      </c>
      <c r="BI44">
        <f t="shared" si="35"/>
        <v>6.96E-3</v>
      </c>
      <c r="BJ44" s="473">
        <f t="shared" si="52"/>
        <v>79.55517922487121</v>
      </c>
      <c r="BK44" s="180">
        <f t="shared" si="80"/>
        <v>1.3650000000000002E-2</v>
      </c>
      <c r="BL44" s="180">
        <f t="shared" si="81"/>
        <v>1.3650000000000002E-2</v>
      </c>
      <c r="BM44" s="547"/>
      <c r="BO44" s="473">
        <f t="shared" si="53"/>
        <v>27.300000000000004</v>
      </c>
      <c r="BP44" s="547">
        <f t="shared" si="38"/>
        <v>7.4568624306262858E-4</v>
      </c>
      <c r="BQ44" s="547">
        <f t="shared" si="54"/>
        <v>2.6932241321763964E-4</v>
      </c>
      <c r="BR44" s="547">
        <f t="shared" si="82"/>
        <v>2.4141821773397668E-4</v>
      </c>
      <c r="BS44" s="547">
        <f t="shared" si="40"/>
        <v>5.3603661444631403E-3</v>
      </c>
      <c r="BT44" s="657">
        <f t="shared" si="83"/>
        <v>3.0207272727272739E-2</v>
      </c>
      <c r="BU44" s="473">
        <f t="shared" si="55"/>
        <v>36.824065745750126</v>
      </c>
      <c r="BV44" s="180">
        <f t="shared" si="56"/>
        <v>0.14367924497062134</v>
      </c>
      <c r="BW44" s="5">
        <f t="shared" si="57"/>
        <v>0.8307000000000001</v>
      </c>
      <c r="BX44" s="180">
        <f t="shared" si="58"/>
        <v>0.85254278997398658</v>
      </c>
      <c r="BY44" s="5">
        <f t="shared" si="59"/>
        <v>85.254278997398657</v>
      </c>
      <c r="BZ44">
        <f t="shared" si="88"/>
        <v>39.000000000000007</v>
      </c>
      <c r="CB44" s="582">
        <f t="shared" si="84"/>
        <v>-50</v>
      </c>
      <c r="CC44">
        <f t="shared" si="85"/>
        <v>-50</v>
      </c>
    </row>
    <row r="45" spans="5:81" x14ac:dyDescent="0.25">
      <c r="E45" s="177">
        <v>40</v>
      </c>
      <c r="F45" s="224">
        <f t="shared" si="89"/>
        <v>4.0000000000000008E-2</v>
      </c>
      <c r="G45" s="224">
        <f t="shared" si="86"/>
        <v>4.0000000000000008E-2</v>
      </c>
      <c r="H45" s="224">
        <f t="shared" si="63"/>
        <v>0.25200000000000006</v>
      </c>
      <c r="I45" s="224">
        <f t="shared" si="90"/>
        <v>0.60000000000000009</v>
      </c>
      <c r="J45" s="560">
        <f t="shared" si="1"/>
        <v>24</v>
      </c>
      <c r="K45" s="455">
        <f t="shared" si="2"/>
        <v>13.1</v>
      </c>
      <c r="L45" s="455">
        <f t="shared" si="3"/>
        <v>37.1</v>
      </c>
      <c r="M45" s="455"/>
      <c r="N45" s="224">
        <f t="shared" si="4"/>
        <v>0.35309973045822102</v>
      </c>
      <c r="O45" s="179">
        <f t="shared" si="87"/>
        <v>1.6354982726547966</v>
      </c>
      <c r="P45" s="179">
        <f t="shared" si="64"/>
        <v>3.8940435063209446</v>
      </c>
      <c r="Q45" s="224">
        <f t="shared" si="6"/>
        <v>0.25960290042139628</v>
      </c>
      <c r="R45" s="224">
        <f t="shared" si="65"/>
        <v>0.10903321817698644</v>
      </c>
      <c r="S45" s="455">
        <f t="shared" si="66"/>
        <v>6.3</v>
      </c>
      <c r="T45" s="224">
        <f t="shared" si="67"/>
        <v>0.22341815097540291</v>
      </c>
      <c r="U45" s="224">
        <f t="shared" si="10"/>
        <v>0.5119999293186317</v>
      </c>
      <c r="V45" s="224">
        <f t="shared" si="11"/>
        <v>0.93801513768298939</v>
      </c>
      <c r="W45" s="204">
        <f t="shared" si="12"/>
        <v>350</v>
      </c>
      <c r="X45" s="455">
        <f t="shared" si="46"/>
        <v>350</v>
      </c>
      <c r="Z45" s="224">
        <f t="shared" si="13"/>
        <v>0.44022823537648331</v>
      </c>
      <c r="AA45" s="180">
        <f t="shared" si="14"/>
        <v>1.8482864844050828</v>
      </c>
      <c r="AB45" s="180">
        <f t="shared" si="68"/>
        <v>8.4231817558083441E-2</v>
      </c>
      <c r="AC45" s="180"/>
      <c r="AD45" s="180">
        <f t="shared" si="16"/>
        <v>1.217557251908397</v>
      </c>
      <c r="AE45" s="564">
        <f t="shared" si="69"/>
        <v>383.01136041920824</v>
      </c>
      <c r="AF45" s="547">
        <f t="shared" si="70"/>
        <v>3.6552440597785188E-2</v>
      </c>
      <c r="AH45" s="180">
        <f t="shared" si="71"/>
        <v>0.29752223533625266</v>
      </c>
      <c r="AI45" s="180">
        <f t="shared" si="72"/>
        <v>0.29752223533625266</v>
      </c>
      <c r="AJ45" s="180">
        <f t="shared" si="73"/>
        <v>1.205572026175002</v>
      </c>
      <c r="AL45" s="564">
        <f t="shared" si="74"/>
        <v>40.000000000000007</v>
      </c>
      <c r="AM45" s="473">
        <f t="shared" si="75"/>
        <v>350</v>
      </c>
      <c r="AO45">
        <f t="shared" si="47"/>
        <v>40.000000000000007</v>
      </c>
      <c r="AP45" s="473">
        <f t="shared" si="24"/>
        <v>350</v>
      </c>
      <c r="AQ45" s="473"/>
      <c r="AR45" s="5">
        <f t="shared" si="48"/>
        <v>2.8571428571428572</v>
      </c>
      <c r="AS45" s="5">
        <f t="shared" si="25"/>
        <v>0.68182178931224569</v>
      </c>
      <c r="AT45" s="5">
        <f t="shared" si="49"/>
        <v>2.1753210678306116</v>
      </c>
      <c r="AU45" s="180">
        <f t="shared" si="50"/>
        <v>0.23863762625928597</v>
      </c>
      <c r="AW45" s="5">
        <f t="shared" si="76"/>
        <v>0.43290272337285451</v>
      </c>
      <c r="AX45" s="5">
        <f t="shared" si="77"/>
        <v>0.18181914381659892</v>
      </c>
      <c r="AY45" s="5">
        <f t="shared" si="28"/>
        <v>2.1148954826130949E-2</v>
      </c>
      <c r="AZ45" s="5"/>
      <c r="BA45" s="180">
        <f t="shared" si="51"/>
        <v>8.3912809329831431E-2</v>
      </c>
      <c r="BB45" s="180">
        <f t="shared" si="78"/>
        <v>8.866361772811053E-2</v>
      </c>
      <c r="BC45" s="180">
        <f t="shared" si="79"/>
        <v>9.0670834679020124E-2</v>
      </c>
      <c r="BD45" s="180"/>
      <c r="BE45" s="547">
        <f t="shared" si="31"/>
        <v>2.4644758493686256E-3</v>
      </c>
      <c r="BF45" s="547">
        <f t="shared" si="32"/>
        <v>3.8633262258412404E-2</v>
      </c>
      <c r="BG45" s="547">
        <f t="shared" si="33"/>
        <v>4.3749999999999995E-3</v>
      </c>
      <c r="BH45" s="547">
        <f t="shared" si="34"/>
        <v>2.7700251250000002E-2</v>
      </c>
      <c r="BI45">
        <f t="shared" si="35"/>
        <v>6.96E-3</v>
      </c>
      <c r="BJ45" s="473">
        <f t="shared" si="52"/>
        <v>80.132989357781014</v>
      </c>
      <c r="BK45" s="180">
        <f t="shared" si="80"/>
        <v>1.4000000000000002E-2</v>
      </c>
      <c r="BL45" s="180">
        <f t="shared" si="81"/>
        <v>1.4000000000000002E-2</v>
      </c>
      <c r="BM45" s="547"/>
      <c r="BO45" s="473">
        <f t="shared" si="53"/>
        <v>28.000000000000004</v>
      </c>
      <c r="BP45" s="547">
        <f t="shared" si="38"/>
        <v>7.7454955265871092E-4</v>
      </c>
      <c r="BQ45" s="547">
        <f t="shared" si="54"/>
        <v>2.751432988022781E-4</v>
      </c>
      <c r="BR45" s="547">
        <f t="shared" si="82"/>
        <v>2.4663600784170596E-4</v>
      </c>
      <c r="BS45" s="547">
        <f t="shared" si="40"/>
        <v>5.5327199230225405E-3</v>
      </c>
      <c r="BT45" s="657">
        <f t="shared" si="83"/>
        <v>3.098181818181818E-2</v>
      </c>
      <c r="BU45" s="473">
        <f t="shared" si="55"/>
        <v>37.810866964143415</v>
      </c>
      <c r="BV45" s="180">
        <f t="shared" si="56"/>
        <v>0.14594385632192441</v>
      </c>
      <c r="BW45" s="5">
        <f t="shared" si="57"/>
        <v>0.85200000000000009</v>
      </c>
      <c r="BX45" s="180">
        <f t="shared" si="58"/>
        <v>0.85375544385851232</v>
      </c>
      <c r="BY45" s="5">
        <f t="shared" si="59"/>
        <v>85.375544385851228</v>
      </c>
      <c r="BZ45">
        <f t="shared" si="88"/>
        <v>40.000000000000007</v>
      </c>
      <c r="CB45" s="582">
        <f t="shared" si="84"/>
        <v>-50</v>
      </c>
      <c r="CC45">
        <f t="shared" si="85"/>
        <v>-50</v>
      </c>
    </row>
    <row r="46" spans="5:81" x14ac:dyDescent="0.25">
      <c r="E46" s="177">
        <v>41</v>
      </c>
      <c r="F46" s="224">
        <f t="shared" si="89"/>
        <v>4.1000000000000002E-2</v>
      </c>
      <c r="G46" s="224">
        <f t="shared" si="86"/>
        <v>4.1000000000000002E-2</v>
      </c>
      <c r="H46" s="224">
        <f t="shared" si="63"/>
        <v>0.25830000000000003</v>
      </c>
      <c r="I46" s="224">
        <f t="shared" si="90"/>
        <v>0.61499999999999999</v>
      </c>
      <c r="J46" s="560">
        <f t="shared" si="1"/>
        <v>24</v>
      </c>
      <c r="K46" s="455">
        <f t="shared" si="2"/>
        <v>13.1</v>
      </c>
      <c r="L46" s="455">
        <f t="shared" si="3"/>
        <v>37.1</v>
      </c>
      <c r="M46" s="455"/>
      <c r="N46" s="224">
        <f t="shared" si="4"/>
        <v>0.35309973045822102</v>
      </c>
      <c r="O46" s="179">
        <f t="shared" si="87"/>
        <v>1.6354982726547966</v>
      </c>
      <c r="P46" s="179">
        <f t="shared" si="64"/>
        <v>3.8940435063209446</v>
      </c>
      <c r="Q46" s="224">
        <f t="shared" si="6"/>
        <v>0.25960290042139628</v>
      </c>
      <c r="R46" s="224">
        <f t="shared" si="65"/>
        <v>0.10903321817698644</v>
      </c>
      <c r="S46" s="455">
        <f t="shared" si="66"/>
        <v>6.3</v>
      </c>
      <c r="T46" s="224">
        <f t="shared" si="67"/>
        <v>0.22900360474978793</v>
      </c>
      <c r="U46" s="224">
        <f t="shared" si="10"/>
        <v>0.52479992755159732</v>
      </c>
      <c r="V46" s="224">
        <f t="shared" si="11"/>
        <v>0.96146551612506381</v>
      </c>
      <c r="W46" s="204">
        <f t="shared" si="12"/>
        <v>350</v>
      </c>
      <c r="X46" s="455">
        <f t="shared" si="46"/>
        <v>350</v>
      </c>
      <c r="Z46" s="224">
        <f t="shared" si="13"/>
        <v>0.44022823537648331</v>
      </c>
      <c r="AA46" s="180">
        <f t="shared" si="14"/>
        <v>1.8482864844050828</v>
      </c>
      <c r="AB46" s="180">
        <f t="shared" si="68"/>
        <v>8.4231817558083441E-2</v>
      </c>
      <c r="AC46" s="180"/>
      <c r="AD46" s="180">
        <f t="shared" si="16"/>
        <v>1.217557251908397</v>
      </c>
      <c r="AE46" s="564">
        <f t="shared" si="69"/>
        <v>392.58664442968842</v>
      </c>
      <c r="AF46" s="547">
        <f t="shared" si="70"/>
        <v>3.6552440597785188E-2</v>
      </c>
      <c r="AH46" s="180">
        <f t="shared" si="71"/>
        <v>0.30121830544053513</v>
      </c>
      <c r="AI46" s="180">
        <f t="shared" si="72"/>
        <v>0.30121830544053513</v>
      </c>
      <c r="AJ46" s="180">
        <f t="shared" si="73"/>
        <v>1.2083098558818779</v>
      </c>
      <c r="AL46" s="564">
        <f t="shared" si="74"/>
        <v>41</v>
      </c>
      <c r="AM46" s="473">
        <f t="shared" si="75"/>
        <v>350</v>
      </c>
      <c r="AO46">
        <f t="shared" si="47"/>
        <v>41</v>
      </c>
      <c r="AP46" s="473">
        <f t="shared" si="24"/>
        <v>350</v>
      </c>
      <c r="AQ46" s="473"/>
      <c r="AR46" s="5">
        <f t="shared" si="48"/>
        <v>2.8571428571428572</v>
      </c>
      <c r="AS46" s="5">
        <f t="shared" si="25"/>
        <v>0.690291949967893</v>
      </c>
      <c r="AT46" s="5">
        <f t="shared" si="49"/>
        <v>2.1668509071749642</v>
      </c>
      <c r="AU46" s="180">
        <f t="shared" si="50"/>
        <v>0.24160218248876256</v>
      </c>
      <c r="AW46" s="5">
        <f t="shared" si="76"/>
        <v>0.44923761823307323</v>
      </c>
      <c r="AX46" s="5">
        <f t="shared" si="77"/>
        <v>0.18867979965789078</v>
      </c>
      <c r="AY46" s="5">
        <f t="shared" si="28"/>
        <v>2.1593271193028288E-2</v>
      </c>
      <c r="AZ46" s="5"/>
      <c r="BA46" s="180">
        <f t="shared" si="51"/>
        <v>8.5481308246179249E-2</v>
      </c>
      <c r="BB46" s="180">
        <f t="shared" si="78"/>
        <v>8.9590139448079642E-2</v>
      </c>
      <c r="BC46" s="180">
        <f t="shared" si="79"/>
        <v>9.1618331519894097E-2</v>
      </c>
      <c r="BD46" s="180"/>
      <c r="BE46" s="547">
        <f t="shared" si="31"/>
        <v>2.5574689208174091E-3</v>
      </c>
      <c r="BF46" s="547">
        <f t="shared" si="32"/>
        <v>3.9113196961453496E-2</v>
      </c>
      <c r="BG46" s="547">
        <f t="shared" si="33"/>
        <v>4.3749999999999995E-3</v>
      </c>
      <c r="BH46" s="547">
        <f t="shared" si="34"/>
        <v>2.7700251250000002E-2</v>
      </c>
      <c r="BI46">
        <f t="shared" si="35"/>
        <v>6.96E-3</v>
      </c>
      <c r="BJ46" s="473">
        <f t="shared" si="52"/>
        <v>80.705917132270898</v>
      </c>
      <c r="BK46" s="180">
        <f t="shared" si="80"/>
        <v>1.435E-2</v>
      </c>
      <c r="BL46" s="180">
        <f t="shared" si="81"/>
        <v>1.435E-2</v>
      </c>
      <c r="BM46" s="547"/>
      <c r="BO46" s="473">
        <f t="shared" si="53"/>
        <v>28.7</v>
      </c>
      <c r="BP46" s="547">
        <f t="shared" si="38"/>
        <v>8.0377594654261432E-4</v>
      </c>
      <c r="BQ46" s="547">
        <f t="shared" si="54"/>
        <v>2.8092375802142247E-4</v>
      </c>
      <c r="BR46" s="547">
        <f t="shared" si="82"/>
        <v>2.5181756011467658E-4</v>
      </c>
      <c r="BS46" s="547">
        <f t="shared" si="40"/>
        <v>5.7061543848275645E-3</v>
      </c>
      <c r="BT46" s="657">
        <f t="shared" si="83"/>
        <v>3.1756363636363631E-2</v>
      </c>
      <c r="BU46" s="473">
        <f t="shared" si="55"/>
        <v>38.799035285869905</v>
      </c>
      <c r="BV46" s="180">
        <f t="shared" si="56"/>
        <v>0.14820495241814083</v>
      </c>
      <c r="BW46" s="5">
        <f t="shared" si="57"/>
        <v>0.87329999999999997</v>
      </c>
      <c r="BX46" s="180">
        <f t="shared" si="58"/>
        <v>0.85491509163288437</v>
      </c>
      <c r="BY46" s="5">
        <f t="shared" si="59"/>
        <v>85.491509163288441</v>
      </c>
      <c r="BZ46">
        <f t="shared" si="88"/>
        <v>41</v>
      </c>
      <c r="CB46" s="582">
        <f t="shared" si="84"/>
        <v>-50</v>
      </c>
      <c r="CC46">
        <f t="shared" si="85"/>
        <v>-50</v>
      </c>
    </row>
    <row r="47" spans="5:81" x14ac:dyDescent="0.25">
      <c r="E47" s="177">
        <v>42</v>
      </c>
      <c r="F47" s="224">
        <f t="shared" si="89"/>
        <v>4.2000000000000003E-2</v>
      </c>
      <c r="G47" s="224">
        <f t="shared" si="86"/>
        <v>4.2000000000000003E-2</v>
      </c>
      <c r="H47" s="224">
        <f t="shared" si="63"/>
        <v>0.2646</v>
      </c>
      <c r="I47" s="224">
        <f t="shared" si="90"/>
        <v>0.63</v>
      </c>
      <c r="J47" s="560">
        <f t="shared" si="1"/>
        <v>24</v>
      </c>
      <c r="K47" s="455">
        <f t="shared" si="2"/>
        <v>13.1</v>
      </c>
      <c r="L47" s="455">
        <f t="shared" si="3"/>
        <v>37.1</v>
      </c>
      <c r="M47" s="455"/>
      <c r="N47" s="224">
        <f t="shared" si="4"/>
        <v>0.35309973045822102</v>
      </c>
      <c r="O47" s="179">
        <f t="shared" si="87"/>
        <v>1.6354982726547966</v>
      </c>
      <c r="P47" s="179">
        <f t="shared" si="64"/>
        <v>3.8940435063209446</v>
      </c>
      <c r="Q47" s="224">
        <f t="shared" si="6"/>
        <v>0.25960290042139628</v>
      </c>
      <c r="R47" s="224">
        <f t="shared" si="65"/>
        <v>0.10903321817698644</v>
      </c>
      <c r="S47" s="455">
        <f t="shared" si="66"/>
        <v>6.3</v>
      </c>
      <c r="T47" s="224">
        <f t="shared" si="67"/>
        <v>0.23458905852417303</v>
      </c>
      <c r="U47" s="224">
        <f t="shared" si="10"/>
        <v>0.53759992578456317</v>
      </c>
      <c r="V47" s="224">
        <f t="shared" si="11"/>
        <v>0.98491589456713868</v>
      </c>
      <c r="W47" s="204">
        <f t="shared" si="12"/>
        <v>350</v>
      </c>
      <c r="X47" s="455">
        <f t="shared" si="46"/>
        <v>350</v>
      </c>
      <c r="Z47" s="224">
        <f t="shared" si="13"/>
        <v>0.44022823537648331</v>
      </c>
      <c r="AA47" s="180">
        <f t="shared" si="14"/>
        <v>1.8482864844050828</v>
      </c>
      <c r="AB47" s="180">
        <f t="shared" si="68"/>
        <v>8.4231817558083441E-2</v>
      </c>
      <c r="AC47" s="180"/>
      <c r="AD47" s="180">
        <f t="shared" si="16"/>
        <v>1.217557251908397</v>
      </c>
      <c r="AE47" s="564">
        <f t="shared" si="69"/>
        <v>402.16192844016854</v>
      </c>
      <c r="AF47" s="547">
        <f t="shared" si="70"/>
        <v>3.6552440597785188E-2</v>
      </c>
      <c r="AH47" s="180">
        <f t="shared" si="71"/>
        <v>0.30486956972688262</v>
      </c>
      <c r="AI47" s="180">
        <f t="shared" si="72"/>
        <v>0.30486956972688262</v>
      </c>
      <c r="AJ47" s="180">
        <f t="shared" si="73"/>
        <v>1.211014496093987</v>
      </c>
      <c r="AL47" s="564">
        <f t="shared" si="74"/>
        <v>42</v>
      </c>
      <c r="AM47" s="473">
        <f t="shared" si="75"/>
        <v>350</v>
      </c>
      <c r="AO47">
        <f t="shared" si="47"/>
        <v>42</v>
      </c>
      <c r="AP47" s="473">
        <f t="shared" si="24"/>
        <v>350</v>
      </c>
      <c r="AQ47" s="473"/>
      <c r="AR47" s="5">
        <f t="shared" si="48"/>
        <v>2.8571428571428572</v>
      </c>
      <c r="AS47" s="5">
        <f t="shared" si="25"/>
        <v>0.69865943062410607</v>
      </c>
      <c r="AT47" s="5">
        <f t="shared" si="49"/>
        <v>2.1584834265187514</v>
      </c>
      <c r="AU47" s="180">
        <f t="shared" si="50"/>
        <v>0.24453080071843711</v>
      </c>
      <c r="AW47" s="5">
        <f t="shared" si="76"/>
        <v>0.46577295374940408</v>
      </c>
      <c r="AX47" s="5">
        <f t="shared" si="77"/>
        <v>0.19562464057474971</v>
      </c>
      <c r="AY47" s="5">
        <f t="shared" si="28"/>
        <v>2.2034518312378914E-2</v>
      </c>
      <c r="AZ47" s="5"/>
      <c r="BA47" s="180">
        <f t="shared" si="51"/>
        <v>8.7040271183590825E-2</v>
      </c>
      <c r="BB47" s="180">
        <f t="shared" si="78"/>
        <v>9.0500874028623335E-2</v>
      </c>
      <c r="BC47" s="180">
        <f t="shared" si="79"/>
        <v>9.2549683823182349E-2</v>
      </c>
      <c r="BD47" s="180"/>
      <c r="BE47" s="547">
        <f t="shared" si="31"/>
        <v>2.6516030826995609E-3</v>
      </c>
      <c r="BF47" s="547">
        <f t="shared" si="32"/>
        <v>3.9587313629035711E-2</v>
      </c>
      <c r="BG47" s="547">
        <f t="shared" si="33"/>
        <v>4.3749999999999995E-3</v>
      </c>
      <c r="BH47" s="547">
        <f t="shared" si="34"/>
        <v>2.7700251250000002E-2</v>
      </c>
      <c r="BI47">
        <f t="shared" si="35"/>
        <v>6.96E-3</v>
      </c>
      <c r="BJ47" s="473">
        <f t="shared" si="52"/>
        <v>81.274167961735259</v>
      </c>
      <c r="BK47" s="180">
        <f t="shared" si="80"/>
        <v>1.47E-2</v>
      </c>
      <c r="BL47" s="180">
        <f t="shared" si="81"/>
        <v>1.47E-2</v>
      </c>
      <c r="BM47" s="547"/>
      <c r="BO47" s="473">
        <f t="shared" si="53"/>
        <v>29.4</v>
      </c>
      <c r="BP47" s="547">
        <f t="shared" si="38"/>
        <v>8.3336096884843345E-4</v>
      </c>
      <c r="BQ47" s="547">
        <f t="shared" si="54"/>
        <v>2.8666428699806627E-4</v>
      </c>
      <c r="BR47" s="547">
        <f t="shared" si="82"/>
        <v>2.5696331927313058E-4</v>
      </c>
      <c r="BS47" s="547">
        <f t="shared" si="40"/>
        <v>5.8806496968954953E-3</v>
      </c>
      <c r="BT47" s="657">
        <f t="shared" si="83"/>
        <v>3.2530909090909096E-2</v>
      </c>
      <c r="BU47" s="473">
        <f t="shared" si="55"/>
        <v>39.788547362924227</v>
      </c>
      <c r="BV47" s="180">
        <f t="shared" si="56"/>
        <v>0.15046271532465949</v>
      </c>
      <c r="BW47" s="5">
        <f t="shared" si="57"/>
        <v>0.89460000000000006</v>
      </c>
      <c r="BX47" s="180">
        <f t="shared" si="58"/>
        <v>0.85602518095967395</v>
      </c>
      <c r="BY47" s="5">
        <f t="shared" si="59"/>
        <v>85.602518095967397</v>
      </c>
      <c r="BZ47">
        <f t="shared" si="88"/>
        <v>42</v>
      </c>
      <c r="CB47" s="582">
        <f t="shared" si="84"/>
        <v>-50</v>
      </c>
      <c r="CC47">
        <f t="shared" si="85"/>
        <v>-50</v>
      </c>
    </row>
    <row r="48" spans="5:81" x14ac:dyDescent="0.25">
      <c r="E48" s="177">
        <v>43</v>
      </c>
      <c r="F48" s="224">
        <f t="shared" si="89"/>
        <v>4.3000000000000003E-2</v>
      </c>
      <c r="G48" s="224">
        <f t="shared" si="86"/>
        <v>4.3000000000000003E-2</v>
      </c>
      <c r="H48" s="224">
        <f t="shared" si="63"/>
        <v>0.27090000000000003</v>
      </c>
      <c r="I48" s="224">
        <f t="shared" si="90"/>
        <v>0.64500000000000002</v>
      </c>
      <c r="J48" s="560">
        <f t="shared" si="1"/>
        <v>24</v>
      </c>
      <c r="K48" s="455">
        <f t="shared" si="2"/>
        <v>13.1</v>
      </c>
      <c r="L48" s="455">
        <f t="shared" si="3"/>
        <v>37.1</v>
      </c>
      <c r="M48" s="455"/>
      <c r="N48" s="224">
        <f t="shared" si="4"/>
        <v>0.35309973045822102</v>
      </c>
      <c r="O48" s="179">
        <f t="shared" si="87"/>
        <v>1.6354982726547966</v>
      </c>
      <c r="P48" s="179">
        <f t="shared" si="64"/>
        <v>3.8940435063209446</v>
      </c>
      <c r="Q48" s="224">
        <f t="shared" si="6"/>
        <v>0.25960290042139628</v>
      </c>
      <c r="R48" s="224">
        <f t="shared" si="65"/>
        <v>0.10903321817698644</v>
      </c>
      <c r="S48" s="455">
        <f t="shared" si="66"/>
        <v>6.3</v>
      </c>
      <c r="T48" s="224">
        <f t="shared" si="67"/>
        <v>0.2401745122985581</v>
      </c>
      <c r="U48" s="224">
        <f t="shared" si="10"/>
        <v>0.55039992401752902</v>
      </c>
      <c r="V48" s="224">
        <f t="shared" si="11"/>
        <v>1.0083662730092136</v>
      </c>
      <c r="W48" s="204">
        <f t="shared" si="12"/>
        <v>350</v>
      </c>
      <c r="X48" s="455">
        <f t="shared" si="46"/>
        <v>350</v>
      </c>
      <c r="Z48" s="224">
        <f t="shared" si="13"/>
        <v>0.44022823537648331</v>
      </c>
      <c r="AA48" s="180">
        <f t="shared" si="14"/>
        <v>1.8482864844050828</v>
      </c>
      <c r="AB48" s="180">
        <f t="shared" si="68"/>
        <v>8.4231817558083441E-2</v>
      </c>
      <c r="AC48" s="180"/>
      <c r="AD48" s="180">
        <f t="shared" si="16"/>
        <v>1.217557251908397</v>
      </c>
      <c r="AE48" s="564">
        <f t="shared" si="69"/>
        <v>411.73721245064877</v>
      </c>
      <c r="AF48" s="547">
        <f t="shared" si="70"/>
        <v>3.6552440597785188E-2</v>
      </c>
      <c r="AH48" s="180">
        <f t="shared" si="71"/>
        <v>0.30847761921805861</v>
      </c>
      <c r="AI48" s="180">
        <f t="shared" si="72"/>
        <v>0.30847761921805861</v>
      </c>
      <c r="AJ48" s="180">
        <f t="shared" si="73"/>
        <v>1.2136871253467101</v>
      </c>
      <c r="AL48" s="564">
        <f t="shared" si="74"/>
        <v>43</v>
      </c>
      <c r="AM48" s="473">
        <f t="shared" si="75"/>
        <v>350</v>
      </c>
      <c r="AO48">
        <f t="shared" si="47"/>
        <v>43</v>
      </c>
      <c r="AP48" s="473">
        <f t="shared" si="24"/>
        <v>350</v>
      </c>
      <c r="AQ48" s="473"/>
      <c r="AR48" s="5">
        <f t="shared" si="48"/>
        <v>2.8571428571428572</v>
      </c>
      <c r="AS48" s="5">
        <f t="shared" si="25"/>
        <v>0.70692787737471774</v>
      </c>
      <c r="AT48" s="5">
        <f t="shared" si="49"/>
        <v>2.1502149797681396</v>
      </c>
      <c r="AU48" s="180">
        <f t="shared" si="50"/>
        <v>0.24742475708115119</v>
      </c>
      <c r="AW48" s="5">
        <f t="shared" si="76"/>
        <v>0.48250632900179152</v>
      </c>
      <c r="AX48" s="5">
        <f t="shared" si="77"/>
        <v>0.20265265818075243</v>
      </c>
      <c r="AY48" s="5">
        <f t="shared" si="28"/>
        <v>2.2472732948271179E-2</v>
      </c>
      <c r="AZ48" s="5"/>
      <c r="BA48" s="180">
        <f t="shared" si="51"/>
        <v>8.8589981161939391E-2</v>
      </c>
      <c r="BB48" s="180">
        <f t="shared" si="78"/>
        <v>9.1396368171825587E-2</v>
      </c>
      <c r="BC48" s="180">
        <f t="shared" si="79"/>
        <v>9.3465450667518754E-2</v>
      </c>
      <c r="BD48" s="180"/>
      <c r="BE48" s="547">
        <f t="shared" si="31"/>
        <v>2.7468646667954712E-3</v>
      </c>
      <c r="BF48" s="547">
        <f t="shared" si="32"/>
        <v>4.0055818855464914E-2</v>
      </c>
      <c r="BG48" s="547">
        <f t="shared" si="33"/>
        <v>4.3749999999999995E-3</v>
      </c>
      <c r="BH48" s="547">
        <f t="shared" si="34"/>
        <v>2.7700251250000002E-2</v>
      </c>
      <c r="BI48">
        <f t="shared" si="35"/>
        <v>6.96E-3</v>
      </c>
      <c r="BJ48" s="473">
        <f t="shared" si="52"/>
        <v>81.837934772260368</v>
      </c>
      <c r="BK48" s="180">
        <f t="shared" si="80"/>
        <v>1.5050000000000001E-2</v>
      </c>
      <c r="BL48" s="180">
        <f t="shared" si="81"/>
        <v>1.5050000000000001E-2</v>
      </c>
      <c r="BM48" s="547"/>
      <c r="BO48" s="473">
        <f t="shared" si="53"/>
        <v>30.1</v>
      </c>
      <c r="BP48" s="547">
        <f t="shared" si="38"/>
        <v>8.633003238500053E-4</v>
      </c>
      <c r="BQ48" s="547">
        <f t="shared" si="54"/>
        <v>2.9236536402499629E-4</v>
      </c>
      <c r="BR48" s="547">
        <f t="shared" si="82"/>
        <v>2.6207371405447146E-4</v>
      </c>
      <c r="BS48" s="547">
        <f t="shared" si="40"/>
        <v>6.0561868553338158E-3</v>
      </c>
      <c r="BT48" s="657">
        <f t="shared" si="83"/>
        <v>3.3305454545454555E-2</v>
      </c>
      <c r="BU48" s="473">
        <f t="shared" si="55"/>
        <v>40.779380802717839</v>
      </c>
      <c r="BV48" s="180">
        <f t="shared" si="56"/>
        <v>0.15271731557497822</v>
      </c>
      <c r="BW48" s="5">
        <f t="shared" si="57"/>
        <v>0.91590000000000005</v>
      </c>
      <c r="BX48" s="180">
        <f t="shared" si="58"/>
        <v>0.85708886301097653</v>
      </c>
      <c r="BY48" s="5">
        <f t="shared" si="59"/>
        <v>85.70888630109765</v>
      </c>
      <c r="BZ48">
        <f t="shared" si="88"/>
        <v>43</v>
      </c>
      <c r="CB48" s="582">
        <f t="shared" si="84"/>
        <v>-50</v>
      </c>
      <c r="CC48">
        <f t="shared" si="85"/>
        <v>-50</v>
      </c>
    </row>
    <row r="49" spans="5:81" x14ac:dyDescent="0.25">
      <c r="E49" s="177">
        <v>44</v>
      </c>
      <c r="F49" s="224">
        <f t="shared" si="89"/>
        <v>4.4000000000000004E-2</v>
      </c>
      <c r="G49" s="224">
        <f t="shared" si="86"/>
        <v>4.4000000000000004E-2</v>
      </c>
      <c r="H49" s="224">
        <f t="shared" si="63"/>
        <v>0.2772</v>
      </c>
      <c r="I49" s="224">
        <f t="shared" si="90"/>
        <v>0.66</v>
      </c>
      <c r="J49" s="560">
        <f t="shared" si="1"/>
        <v>24</v>
      </c>
      <c r="K49" s="455">
        <f t="shared" si="2"/>
        <v>13.1</v>
      </c>
      <c r="L49" s="455">
        <f t="shared" si="3"/>
        <v>37.1</v>
      </c>
      <c r="M49" s="455"/>
      <c r="N49" s="224">
        <f t="shared" si="4"/>
        <v>0.35309973045822102</v>
      </c>
      <c r="O49" s="179">
        <f t="shared" si="87"/>
        <v>1.6354982726547966</v>
      </c>
      <c r="P49" s="179">
        <f t="shared" si="64"/>
        <v>3.8940435063209446</v>
      </c>
      <c r="Q49" s="224">
        <f t="shared" si="6"/>
        <v>0.25960290042139628</v>
      </c>
      <c r="R49" s="224">
        <f t="shared" si="65"/>
        <v>0.10903321817698644</v>
      </c>
      <c r="S49" s="455">
        <f t="shared" si="66"/>
        <v>6.3</v>
      </c>
      <c r="T49" s="224">
        <f t="shared" si="67"/>
        <v>0.24575996607294318</v>
      </c>
      <c r="U49" s="224">
        <f t="shared" si="10"/>
        <v>0.56319992225049476</v>
      </c>
      <c r="V49" s="224">
        <f t="shared" si="11"/>
        <v>1.0318166514512881</v>
      </c>
      <c r="W49" s="204">
        <f t="shared" si="12"/>
        <v>350</v>
      </c>
      <c r="X49" s="455">
        <f t="shared" si="46"/>
        <v>350</v>
      </c>
      <c r="Z49" s="224">
        <f t="shared" si="13"/>
        <v>0.44022823537648331</v>
      </c>
      <c r="AA49" s="180">
        <f t="shared" si="14"/>
        <v>1.8482864844050828</v>
      </c>
      <c r="AB49" s="180">
        <f t="shared" si="68"/>
        <v>8.4231817558083441E-2</v>
      </c>
      <c r="AC49" s="180"/>
      <c r="AD49" s="180">
        <f t="shared" si="16"/>
        <v>1.217557251908397</v>
      </c>
      <c r="AE49" s="564">
        <f t="shared" si="69"/>
        <v>421.31249646112894</v>
      </c>
      <c r="AF49" s="547">
        <f t="shared" si="70"/>
        <v>3.6552440597785188E-2</v>
      </c>
      <c r="AH49" s="180">
        <f t="shared" si="71"/>
        <v>0.31204395294802395</v>
      </c>
      <c r="AI49" s="180">
        <f t="shared" si="72"/>
        <v>0.31204395294802395</v>
      </c>
      <c r="AJ49" s="180">
        <f t="shared" si="73"/>
        <v>1.2163288540355732</v>
      </c>
      <c r="AL49" s="564">
        <f t="shared" si="74"/>
        <v>44.000000000000007</v>
      </c>
      <c r="AM49" s="473">
        <f t="shared" si="75"/>
        <v>350</v>
      </c>
      <c r="AO49">
        <f t="shared" si="47"/>
        <v>44.000000000000007</v>
      </c>
      <c r="AP49" s="473">
        <f t="shared" si="24"/>
        <v>350</v>
      </c>
      <c r="AQ49" s="473"/>
      <c r="AR49" s="5">
        <f t="shared" si="48"/>
        <v>2.8571428571428572</v>
      </c>
      <c r="AS49" s="5">
        <f t="shared" si="25"/>
        <v>0.71510072550588832</v>
      </c>
      <c r="AT49" s="5">
        <f t="shared" si="49"/>
        <v>2.1420421316369689</v>
      </c>
      <c r="AU49" s="180">
        <f t="shared" si="50"/>
        <v>0.25028525392706091</v>
      </c>
      <c r="AW49" s="5">
        <f t="shared" si="76"/>
        <v>0.49943542733744584</v>
      </c>
      <c r="AX49" s="5">
        <f t="shared" si="77"/>
        <v>0.20976287948172728</v>
      </c>
      <c r="AY49" s="5">
        <f t="shared" si="28"/>
        <v>2.2907950574450914E-2</v>
      </c>
      <c r="AZ49" s="5"/>
      <c r="BA49" s="180">
        <f t="shared" si="51"/>
        <v>9.013070643097662E-2</v>
      </c>
      <c r="BB49" s="180">
        <f t="shared" si="78"/>
        <v>9.2277137024125697E-2</v>
      </c>
      <c r="BC49" s="180">
        <f t="shared" si="79"/>
        <v>9.4366158861518099E-2</v>
      </c>
      <c r="BD49" s="180"/>
      <c r="BE49" s="547">
        <f t="shared" si="31"/>
        <v>2.8432404846114112E-3</v>
      </c>
      <c r="BF49" s="547">
        <f t="shared" si="32"/>
        <v>4.0518907290300908E-2</v>
      </c>
      <c r="BG49" s="547">
        <f t="shared" si="33"/>
        <v>4.3749999999999995E-3</v>
      </c>
      <c r="BH49" s="547">
        <f t="shared" si="34"/>
        <v>2.7700251250000002E-2</v>
      </c>
      <c r="BI49">
        <f t="shared" si="35"/>
        <v>6.96E-3</v>
      </c>
      <c r="BJ49" s="473">
        <f t="shared" si="52"/>
        <v>82.397399024912303</v>
      </c>
      <c r="BK49" s="180">
        <f t="shared" si="80"/>
        <v>1.54E-2</v>
      </c>
      <c r="BL49" s="180">
        <f t="shared" si="81"/>
        <v>1.54E-2</v>
      </c>
      <c r="BM49" s="547"/>
      <c r="BO49" s="473">
        <f t="shared" si="53"/>
        <v>30.8</v>
      </c>
      <c r="BP49" s="547">
        <f t="shared" si="38"/>
        <v>8.9358986659215792E-4</v>
      </c>
      <c r="BQ49" s="547">
        <f t="shared" si="54"/>
        <v>2.9802745060792443E-4</v>
      </c>
      <c r="BR49" s="547">
        <f t="shared" si="82"/>
        <v>2.6714915814831812E-4</v>
      </c>
      <c r="BS49" s="547">
        <f t="shared" si="40"/>
        <v>6.2327476321413873E-3</v>
      </c>
      <c r="BT49" s="657">
        <f t="shared" si="83"/>
        <v>3.4080000000000006E-2</v>
      </c>
      <c r="BU49" s="473">
        <f t="shared" si="55"/>
        <v>41.771514107489793</v>
      </c>
      <c r="BV49" s="180">
        <f t="shared" si="56"/>
        <v>0.1549689131324021</v>
      </c>
      <c r="BW49" s="5">
        <f t="shared" si="57"/>
        <v>0.93720000000000003</v>
      </c>
      <c r="BX49" s="180">
        <f t="shared" si="58"/>
        <v>0.8581090239165089</v>
      </c>
      <c r="BY49" s="5">
        <f t="shared" si="59"/>
        <v>85.810902391650885</v>
      </c>
      <c r="BZ49">
        <f t="shared" si="88"/>
        <v>44</v>
      </c>
      <c r="CB49" s="582">
        <f t="shared" si="84"/>
        <v>-50</v>
      </c>
      <c r="CC49">
        <f t="shared" si="85"/>
        <v>-50</v>
      </c>
    </row>
    <row r="50" spans="5:81" x14ac:dyDescent="0.25">
      <c r="E50" s="177">
        <v>45</v>
      </c>
      <c r="F50" s="224">
        <f t="shared" si="89"/>
        <v>4.5000000000000005E-2</v>
      </c>
      <c r="G50" s="224">
        <f t="shared" si="86"/>
        <v>4.5000000000000005E-2</v>
      </c>
      <c r="H50" s="224">
        <f t="shared" si="63"/>
        <v>0.28350000000000003</v>
      </c>
      <c r="I50" s="224">
        <f t="shared" si="90"/>
        <v>0.67500000000000004</v>
      </c>
      <c r="J50" s="560">
        <f t="shared" si="1"/>
        <v>24</v>
      </c>
      <c r="K50" s="455">
        <f t="shared" si="2"/>
        <v>13.1</v>
      </c>
      <c r="L50" s="455">
        <f t="shared" si="3"/>
        <v>37.1</v>
      </c>
      <c r="M50" s="455"/>
      <c r="N50" s="224">
        <f t="shared" si="4"/>
        <v>0.35309973045822102</v>
      </c>
      <c r="O50" s="179">
        <f t="shared" si="87"/>
        <v>1.6354982726547966</v>
      </c>
      <c r="P50" s="179">
        <f t="shared" si="64"/>
        <v>3.8940435063209446</v>
      </c>
      <c r="Q50" s="224">
        <f t="shared" si="6"/>
        <v>0.25960290042139628</v>
      </c>
      <c r="R50" s="224">
        <f t="shared" si="65"/>
        <v>0.10903321817698644</v>
      </c>
      <c r="S50" s="455">
        <f t="shared" si="66"/>
        <v>6.3</v>
      </c>
      <c r="T50" s="224">
        <f t="shared" si="67"/>
        <v>0.25134541984732828</v>
      </c>
      <c r="U50" s="224">
        <f t="shared" si="10"/>
        <v>0.57599992048346071</v>
      </c>
      <c r="V50" s="224">
        <f t="shared" si="11"/>
        <v>1.0552670298933631</v>
      </c>
      <c r="W50" s="204">
        <f t="shared" si="12"/>
        <v>350</v>
      </c>
      <c r="X50" s="455">
        <f t="shared" si="46"/>
        <v>350</v>
      </c>
      <c r="Z50" s="224">
        <f t="shared" si="13"/>
        <v>0.44022823537648331</v>
      </c>
      <c r="AA50" s="180">
        <f t="shared" si="14"/>
        <v>1.8482864844050828</v>
      </c>
      <c r="AB50" s="180">
        <f t="shared" si="68"/>
        <v>8.4231817558083441E-2</v>
      </c>
      <c r="AC50" s="180"/>
      <c r="AD50" s="180">
        <f t="shared" si="16"/>
        <v>1.217557251908397</v>
      </c>
      <c r="AE50" s="564">
        <f t="shared" si="69"/>
        <v>430.88778047160923</v>
      </c>
      <c r="AF50" s="547">
        <f t="shared" si="70"/>
        <v>3.6552440597785188E-2</v>
      </c>
      <c r="AH50" s="180">
        <f t="shared" si="71"/>
        <v>0.31556998524006619</v>
      </c>
      <c r="AI50" s="180">
        <f t="shared" si="72"/>
        <v>0.31556998524006619</v>
      </c>
      <c r="AJ50" s="180">
        <f t="shared" si="73"/>
        <v>1.2189407298074564</v>
      </c>
      <c r="AL50" s="564">
        <f t="shared" si="74"/>
        <v>45.000000000000007</v>
      </c>
      <c r="AM50" s="473">
        <f t="shared" si="75"/>
        <v>350</v>
      </c>
      <c r="AO50">
        <f t="shared" si="47"/>
        <v>45.000000000000007</v>
      </c>
      <c r="AP50" s="473">
        <f t="shared" si="24"/>
        <v>350</v>
      </c>
      <c r="AQ50" s="473"/>
      <c r="AR50" s="5">
        <f t="shared" si="48"/>
        <v>2.8571428571428572</v>
      </c>
      <c r="AS50" s="5">
        <f t="shared" si="25"/>
        <v>0.72318121617515174</v>
      </c>
      <c r="AT50" s="5">
        <f t="shared" si="49"/>
        <v>2.1339616409677054</v>
      </c>
      <c r="AU50" s="180">
        <f t="shared" si="50"/>
        <v>0.25311342566130313</v>
      </c>
      <c r="AW50" s="5">
        <f t="shared" si="76"/>
        <v>0.51655801155367986</v>
      </c>
      <c r="AX50" s="5">
        <f t="shared" si="77"/>
        <v>0.21695436485254552</v>
      </c>
      <c r="AY50" s="5">
        <f t="shared" si="28"/>
        <v>2.3340205448084274E-2</v>
      </c>
      <c r="AZ50" s="5"/>
      <c r="BA50" s="180">
        <f t="shared" si="51"/>
        <v>9.1662701558577045E-2</v>
      </c>
      <c r="BB50" s="180">
        <f t="shared" si="78"/>
        <v>9.3143666669923797E-2</v>
      </c>
      <c r="BC50" s="180">
        <f t="shared" si="79"/>
        <v>9.5252305493833081E-2</v>
      </c>
      <c r="BD50" s="180"/>
      <c r="BE50" s="547">
        <f t="shared" si="31"/>
        <v>2.9407177999558665E-3</v>
      </c>
      <c r="BF50" s="547">
        <f t="shared" si="32"/>
        <v>4.0976762583422595E-2</v>
      </c>
      <c r="BG50" s="547">
        <f t="shared" si="33"/>
        <v>4.3749999999999995E-3</v>
      </c>
      <c r="BH50" s="547">
        <f t="shared" si="34"/>
        <v>2.7700251250000002E-2</v>
      </c>
      <c r="BI50">
        <f t="shared" si="35"/>
        <v>6.96E-3</v>
      </c>
      <c r="BJ50" s="473">
        <f t="shared" si="52"/>
        <v>82.952731633378463</v>
      </c>
      <c r="BK50" s="180">
        <f t="shared" si="80"/>
        <v>1.575E-2</v>
      </c>
      <c r="BL50" s="180">
        <f t="shared" si="81"/>
        <v>1.575E-2</v>
      </c>
      <c r="BM50" s="547"/>
      <c r="BO50" s="473">
        <f t="shared" si="53"/>
        <v>31.5</v>
      </c>
      <c r="BP50" s="547">
        <f t="shared" si="38"/>
        <v>9.2422559427184385E-4</v>
      </c>
      <c r="BQ50" s="547">
        <f t="shared" si="54"/>
        <v>3.0365099242512557E-4</v>
      </c>
      <c r="BR50" s="547">
        <f t="shared" si="82"/>
        <v>2.7219005105671507E-4</v>
      </c>
      <c r="BS50" s="547">
        <f t="shared" si="40"/>
        <v>6.410314526558711E-3</v>
      </c>
      <c r="BT50" s="657">
        <f t="shared" si="83"/>
        <v>3.4854545454545464E-2</v>
      </c>
      <c r="BU50" s="473">
        <f t="shared" si="55"/>
        <v>42.764926618857864</v>
      </c>
      <c r="BV50" s="180">
        <f t="shared" si="56"/>
        <v>0.15721765825223633</v>
      </c>
      <c r="BW50" s="5">
        <f t="shared" si="57"/>
        <v>0.95850000000000013</v>
      </c>
      <c r="BX50" s="180">
        <f t="shared" si="58"/>
        <v>0.85908831227201643</v>
      </c>
      <c r="BY50" s="5">
        <f t="shared" si="59"/>
        <v>85.908831227201645</v>
      </c>
      <c r="BZ50">
        <f t="shared" si="88"/>
        <v>45</v>
      </c>
      <c r="CB50" s="582">
        <f t="shared" si="84"/>
        <v>-50</v>
      </c>
      <c r="CC50">
        <f t="shared" si="85"/>
        <v>-50</v>
      </c>
    </row>
    <row r="51" spans="5:81" x14ac:dyDescent="0.25">
      <c r="E51" s="177">
        <v>46</v>
      </c>
      <c r="F51" s="224">
        <f t="shared" si="89"/>
        <v>4.6000000000000006E-2</v>
      </c>
      <c r="G51" s="224">
        <f t="shared" si="86"/>
        <v>4.6000000000000006E-2</v>
      </c>
      <c r="H51" s="224">
        <f t="shared" si="63"/>
        <v>0.28980000000000006</v>
      </c>
      <c r="I51" s="224">
        <f t="shared" si="90"/>
        <v>0.69000000000000006</v>
      </c>
      <c r="J51" s="560">
        <f t="shared" si="1"/>
        <v>24</v>
      </c>
      <c r="K51" s="455">
        <f t="shared" si="2"/>
        <v>13.1</v>
      </c>
      <c r="L51" s="455">
        <f t="shared" si="3"/>
        <v>37.1</v>
      </c>
      <c r="M51" s="455"/>
      <c r="N51" s="224">
        <f t="shared" si="4"/>
        <v>0.35309973045822102</v>
      </c>
      <c r="O51" s="179">
        <f t="shared" si="87"/>
        <v>1.6354982726547966</v>
      </c>
      <c r="P51" s="179">
        <f t="shared" si="64"/>
        <v>3.8940435063209446</v>
      </c>
      <c r="Q51" s="224">
        <f t="shared" si="6"/>
        <v>0.25960290042139628</v>
      </c>
      <c r="R51" s="224">
        <f t="shared" si="65"/>
        <v>0.10903321817698644</v>
      </c>
      <c r="S51" s="455">
        <f t="shared" si="66"/>
        <v>6.3</v>
      </c>
      <c r="T51" s="224">
        <f t="shared" si="67"/>
        <v>0.25693087362171335</v>
      </c>
      <c r="U51" s="224">
        <f t="shared" si="10"/>
        <v>0.58879991871642634</v>
      </c>
      <c r="V51" s="224">
        <f t="shared" si="11"/>
        <v>1.0787174083354378</v>
      </c>
      <c r="W51" s="204">
        <f t="shared" si="12"/>
        <v>350</v>
      </c>
      <c r="X51" s="455">
        <f t="shared" si="46"/>
        <v>350</v>
      </c>
      <c r="Z51" s="224">
        <f t="shared" si="13"/>
        <v>0.44022823537648331</v>
      </c>
      <c r="AA51" s="180">
        <f t="shared" si="14"/>
        <v>1.8482864844050828</v>
      </c>
      <c r="AB51" s="180">
        <f t="shared" si="68"/>
        <v>8.4231817558083441E-2</v>
      </c>
      <c r="AC51" s="180"/>
      <c r="AD51" s="180">
        <f t="shared" si="16"/>
        <v>1.217557251908397</v>
      </c>
      <c r="AE51" s="564">
        <f t="shared" si="69"/>
        <v>440.46306448208935</v>
      </c>
      <c r="AF51" s="547">
        <f t="shared" si="70"/>
        <v>3.6552440597785188E-2</v>
      </c>
      <c r="AH51" s="180">
        <f t="shared" si="71"/>
        <v>0.3190570522608811</v>
      </c>
      <c r="AI51" s="180">
        <f t="shared" si="72"/>
        <v>0.3190570522608811</v>
      </c>
      <c r="AJ51" s="180">
        <f t="shared" si="73"/>
        <v>1.2215237424154675</v>
      </c>
      <c r="AL51" s="564">
        <f t="shared" si="74"/>
        <v>46.000000000000007</v>
      </c>
      <c r="AM51" s="473">
        <f t="shared" si="75"/>
        <v>350</v>
      </c>
      <c r="AO51">
        <f t="shared" si="47"/>
        <v>46.000000000000007</v>
      </c>
      <c r="AP51" s="473">
        <f t="shared" si="24"/>
        <v>350</v>
      </c>
      <c r="AQ51" s="473"/>
      <c r="AR51" s="5">
        <f t="shared" si="48"/>
        <v>2.8571428571428572</v>
      </c>
      <c r="AS51" s="5">
        <f t="shared" si="25"/>
        <v>0.73117241143118594</v>
      </c>
      <c r="AT51" s="5">
        <f t="shared" si="49"/>
        <v>2.1259704457116713</v>
      </c>
      <c r="AU51" s="180">
        <f t="shared" si="50"/>
        <v>0.25591034400091506</v>
      </c>
      <c r="AW51" s="5">
        <f t="shared" si="76"/>
        <v>0.53387191945769141</v>
      </c>
      <c r="AX51" s="5">
        <f t="shared" si="77"/>
        <v>0.22422620617223041</v>
      </c>
      <c r="AY51" s="5">
        <f t="shared" si="28"/>
        <v>2.3769530677748549E-2</v>
      </c>
      <c r="AZ51" s="5"/>
      <c r="BA51" s="180">
        <f t="shared" si="51"/>
        <v>9.3186208416447813E-2</v>
      </c>
      <c r="BB51" s="180">
        <f t="shared" si="78"/>
        <v>9.3996416377279804E-2</v>
      </c>
      <c r="BC51" s="180">
        <f t="shared" si="79"/>
        <v>9.6124360229692868E-2</v>
      </c>
      <c r="BD51" s="180"/>
      <c r="BE51" s="547">
        <f t="shared" si="31"/>
        <v>3.0392843036617773E-3</v>
      </c>
      <c r="BF51" s="547">
        <f t="shared" si="32"/>
        <v>4.1429558236075407E-2</v>
      </c>
      <c r="BG51" s="547">
        <f t="shared" si="33"/>
        <v>4.3749999999999995E-3</v>
      </c>
      <c r="BH51" s="547">
        <f t="shared" si="34"/>
        <v>2.7700251250000002E-2</v>
      </c>
      <c r="BI51">
        <f t="shared" si="35"/>
        <v>6.96E-3</v>
      </c>
      <c r="BJ51" s="473">
        <f t="shared" si="52"/>
        <v>83.504093789737183</v>
      </c>
      <c r="BK51" s="180">
        <f t="shared" si="80"/>
        <v>1.61E-2</v>
      </c>
      <c r="BL51" s="180">
        <f t="shared" si="81"/>
        <v>1.61E-2</v>
      </c>
      <c r="BM51" s="547"/>
      <c r="BO51" s="473">
        <f t="shared" si="53"/>
        <v>32.200000000000003</v>
      </c>
      <c r="BP51" s="547">
        <f t="shared" si="38"/>
        <v>9.5520363829370149E-4</v>
      </c>
      <c r="BQ51" s="547">
        <f t="shared" si="54"/>
        <v>3.0923642021198349E-4</v>
      </c>
      <c r="BR51" s="547">
        <f t="shared" si="82"/>
        <v>2.7719677888703279E-4</v>
      </c>
      <c r="BS51" s="547">
        <f t="shared" si="40"/>
        <v>6.5888707204855186E-3</v>
      </c>
      <c r="BT51" s="657">
        <f t="shared" si="83"/>
        <v>3.5629090909090916E-2</v>
      </c>
      <c r="BU51" s="473">
        <f t="shared" si="55"/>
        <v>43.759598466969152</v>
      </c>
      <c r="BV51" s="180">
        <f t="shared" si="56"/>
        <v>0.15946369225670631</v>
      </c>
      <c r="BW51" s="5">
        <f t="shared" si="57"/>
        <v>0.97980000000000012</v>
      </c>
      <c r="BX51" s="180">
        <f t="shared" si="58"/>
        <v>0.86002916327401502</v>
      </c>
      <c r="BY51" s="5">
        <f t="shared" si="59"/>
        <v>86.002916327401508</v>
      </c>
      <c r="BZ51">
        <f t="shared" si="88"/>
        <v>46</v>
      </c>
      <c r="CB51" s="582">
        <f t="shared" si="84"/>
        <v>-50</v>
      </c>
      <c r="CC51">
        <f t="shared" si="85"/>
        <v>-50</v>
      </c>
    </row>
    <row r="52" spans="5:81" x14ac:dyDescent="0.25">
      <c r="E52" s="177">
        <v>47</v>
      </c>
      <c r="F52" s="224">
        <f t="shared" si="89"/>
        <v>4.7E-2</v>
      </c>
      <c r="G52" s="224">
        <f t="shared" si="86"/>
        <v>4.7E-2</v>
      </c>
      <c r="H52" s="224">
        <f t="shared" si="63"/>
        <v>0.29609999999999997</v>
      </c>
      <c r="I52" s="224">
        <f t="shared" si="90"/>
        <v>0.70499999999999996</v>
      </c>
      <c r="J52" s="560">
        <f t="shared" si="1"/>
        <v>24</v>
      </c>
      <c r="K52" s="455">
        <f t="shared" si="2"/>
        <v>13.1</v>
      </c>
      <c r="L52" s="455">
        <f t="shared" si="3"/>
        <v>37.1</v>
      </c>
      <c r="M52" s="455"/>
      <c r="N52" s="224">
        <f t="shared" si="4"/>
        <v>0.35309973045822102</v>
      </c>
      <c r="O52" s="179">
        <f t="shared" si="87"/>
        <v>1.6354982726547966</v>
      </c>
      <c r="P52" s="179">
        <f t="shared" si="64"/>
        <v>3.8940435063209446</v>
      </c>
      <c r="Q52" s="224">
        <f t="shared" si="6"/>
        <v>0.25960290042139628</v>
      </c>
      <c r="R52" s="224">
        <f t="shared" si="65"/>
        <v>0.10903321817698644</v>
      </c>
      <c r="S52" s="455">
        <f t="shared" si="66"/>
        <v>6.3</v>
      </c>
      <c r="T52" s="224">
        <f t="shared" si="67"/>
        <v>0.26251632739609837</v>
      </c>
      <c r="U52" s="224">
        <f t="shared" si="10"/>
        <v>0.60159991694939208</v>
      </c>
      <c r="V52" s="224">
        <f t="shared" si="11"/>
        <v>1.1021677867775124</v>
      </c>
      <c r="W52" s="204">
        <f t="shared" si="12"/>
        <v>350</v>
      </c>
      <c r="X52" s="455">
        <f t="shared" si="46"/>
        <v>350</v>
      </c>
      <c r="Z52" s="224">
        <f t="shared" si="13"/>
        <v>0.44022823537648331</v>
      </c>
      <c r="AA52" s="180">
        <f t="shared" si="14"/>
        <v>1.8482864844050828</v>
      </c>
      <c r="AB52" s="180">
        <f t="shared" si="68"/>
        <v>8.4231817558083441E-2</v>
      </c>
      <c r="AC52" s="180"/>
      <c r="AD52" s="180">
        <f t="shared" si="16"/>
        <v>1.217557251908397</v>
      </c>
      <c r="AE52" s="564">
        <f t="shared" si="69"/>
        <v>450.03834849256953</v>
      </c>
      <c r="AF52" s="547">
        <f t="shared" si="70"/>
        <v>3.6552440597785188E-2</v>
      </c>
      <c r="AH52" s="180">
        <f t="shared" si="71"/>
        <v>0.32250641793674367</v>
      </c>
      <c r="AI52" s="180">
        <f t="shared" si="72"/>
        <v>0.32250641793674367</v>
      </c>
      <c r="AJ52" s="180">
        <f t="shared" si="73"/>
        <v>1.2240788281012915</v>
      </c>
      <c r="AL52" s="564">
        <f t="shared" si="74"/>
        <v>47</v>
      </c>
      <c r="AM52" s="473">
        <f t="shared" si="75"/>
        <v>350</v>
      </c>
      <c r="AO52">
        <f t="shared" si="47"/>
        <v>47</v>
      </c>
      <c r="AP52" s="473">
        <f t="shared" si="24"/>
        <v>350</v>
      </c>
      <c r="AQ52" s="473"/>
      <c r="AR52" s="5">
        <f t="shared" si="48"/>
        <v>2.8571428571428572</v>
      </c>
      <c r="AS52" s="5">
        <f t="shared" si="25"/>
        <v>0.73907720777170438</v>
      </c>
      <c r="AT52" s="5">
        <f t="shared" si="49"/>
        <v>2.1180656493711529</v>
      </c>
      <c r="AU52" s="180">
        <f t="shared" si="50"/>
        <v>0.25867702272009652</v>
      </c>
      <c r="AW52" s="5">
        <f t="shared" si="76"/>
        <v>0.55137505976619205</v>
      </c>
      <c r="AX52" s="5">
        <f t="shared" si="77"/>
        <v>0.23157752510180069</v>
      </c>
      <c r="AY52" s="5">
        <f t="shared" si="28"/>
        <v>2.4195958286219066E-2</v>
      </c>
      <c r="AZ52" s="5"/>
      <c r="BA52" s="180">
        <f t="shared" si="51"/>
        <v>9.4701457074979997E-2</v>
      </c>
      <c r="BB52" s="180">
        <f t="shared" si="78"/>
        <v>9.4835820625185807E-2</v>
      </c>
      <c r="BC52" s="180">
        <f t="shared" si="79"/>
        <v>9.6982767384069815E-2</v>
      </c>
      <c r="BD52" s="180"/>
      <c r="BE52" s="547">
        <f t="shared" si="31"/>
        <v>3.1389280902434976E-3</v>
      </c>
      <c r="BF52" s="547">
        <f t="shared" si="32"/>
        <v>4.1877458369086171E-2</v>
      </c>
      <c r="BG52" s="547">
        <f t="shared" si="33"/>
        <v>4.3749999999999995E-3</v>
      </c>
      <c r="BH52" s="547">
        <f t="shared" si="34"/>
        <v>2.7700251250000002E-2</v>
      </c>
      <c r="BI52">
        <f t="shared" si="35"/>
        <v>6.96E-3</v>
      </c>
      <c r="BJ52" s="473">
        <f t="shared" si="52"/>
        <v>84.051637709329668</v>
      </c>
      <c r="BK52" s="180">
        <f t="shared" si="80"/>
        <v>1.6449999999999999E-2</v>
      </c>
      <c r="BL52" s="180">
        <f t="shared" si="81"/>
        <v>1.6449999999999999E-2</v>
      </c>
      <c r="BM52" s="547"/>
      <c r="BO52" s="473">
        <f t="shared" si="53"/>
        <v>32.9</v>
      </c>
      <c r="BP52" s="547">
        <f t="shared" si="38"/>
        <v>9.865202569336708E-4</v>
      </c>
      <c r="BQ52" s="547">
        <f t="shared" si="54"/>
        <v>3.1478415057783468E-4</v>
      </c>
      <c r="BR52" s="547">
        <f t="shared" si="82"/>
        <v>2.8216971508417783E-4</v>
      </c>
      <c r="BS52" s="547">
        <f t="shared" si="40"/>
        <v>6.7684000375443183E-3</v>
      </c>
      <c r="BT52" s="657">
        <f t="shared" si="83"/>
        <v>3.640363636363636E-2</v>
      </c>
      <c r="BU52" s="473">
        <f t="shared" si="55"/>
        <v>44.755510523776358</v>
      </c>
      <c r="BV52" s="180">
        <f t="shared" si="56"/>
        <v>0.161707148233106</v>
      </c>
      <c r="BW52" s="5">
        <f t="shared" si="57"/>
        <v>1.0010999999999999</v>
      </c>
      <c r="BX52" s="180">
        <f t="shared" si="58"/>
        <v>0.86093381995559515</v>
      </c>
      <c r="BY52" s="5">
        <f t="shared" si="59"/>
        <v>86.093381995559511</v>
      </c>
      <c r="BZ52">
        <f t="shared" si="88"/>
        <v>47</v>
      </c>
      <c r="CB52" s="582">
        <f t="shared" si="84"/>
        <v>-50</v>
      </c>
      <c r="CC52">
        <f t="shared" si="85"/>
        <v>-50</v>
      </c>
    </row>
    <row r="53" spans="5:81" x14ac:dyDescent="0.25">
      <c r="E53" s="177">
        <v>48</v>
      </c>
      <c r="F53" s="224">
        <f t="shared" si="89"/>
        <v>4.8000000000000001E-2</v>
      </c>
      <c r="G53" s="224">
        <f t="shared" si="86"/>
        <v>4.8000000000000001E-2</v>
      </c>
      <c r="H53" s="224">
        <f t="shared" si="63"/>
        <v>0.3024</v>
      </c>
      <c r="I53" s="224">
        <f t="shared" si="90"/>
        <v>0.72</v>
      </c>
      <c r="J53" s="560">
        <f t="shared" si="1"/>
        <v>24</v>
      </c>
      <c r="K53" s="455">
        <f t="shared" si="2"/>
        <v>13.1</v>
      </c>
      <c r="L53" s="455">
        <f t="shared" si="3"/>
        <v>37.1</v>
      </c>
      <c r="M53" s="455"/>
      <c r="N53" s="224">
        <f t="shared" si="4"/>
        <v>0.35309973045822102</v>
      </c>
      <c r="O53" s="179">
        <f t="shared" si="87"/>
        <v>1.6354982726547966</v>
      </c>
      <c r="P53" s="179">
        <f t="shared" si="64"/>
        <v>3.8940435063209446</v>
      </c>
      <c r="Q53" s="224">
        <f t="shared" si="6"/>
        <v>0.25960290042139628</v>
      </c>
      <c r="R53" s="224">
        <f t="shared" si="65"/>
        <v>0.10903321817698644</v>
      </c>
      <c r="S53" s="455">
        <f t="shared" si="66"/>
        <v>6.3</v>
      </c>
      <c r="T53" s="224">
        <f t="shared" si="67"/>
        <v>0.26810178117048344</v>
      </c>
      <c r="U53" s="224">
        <f t="shared" si="10"/>
        <v>0.61439991518235793</v>
      </c>
      <c r="V53" s="224">
        <f t="shared" si="11"/>
        <v>1.1256181652195871</v>
      </c>
      <c r="W53" s="204">
        <f t="shared" si="12"/>
        <v>350</v>
      </c>
      <c r="X53" s="455">
        <f t="shared" si="46"/>
        <v>350</v>
      </c>
      <c r="Z53" s="224">
        <f t="shared" si="13"/>
        <v>0.44022823537648331</v>
      </c>
      <c r="AA53" s="180">
        <f t="shared" si="14"/>
        <v>1.8482864844050828</v>
      </c>
      <c r="AB53" s="180">
        <f t="shared" si="68"/>
        <v>8.4231817558083441E-2</v>
      </c>
      <c r="AC53" s="180"/>
      <c r="AD53" s="180">
        <f t="shared" si="16"/>
        <v>1.217557251908397</v>
      </c>
      <c r="AE53" s="564">
        <f t="shared" si="69"/>
        <v>459.6136325030497</v>
      </c>
      <c r="AF53" s="547">
        <f t="shared" si="70"/>
        <v>3.6552440597785188E-2</v>
      </c>
      <c r="AH53" s="180">
        <f t="shared" si="71"/>
        <v>0.32591927930605247</v>
      </c>
      <c r="AI53" s="180">
        <f t="shared" si="72"/>
        <v>0.32591927930605247</v>
      </c>
      <c r="AJ53" s="180">
        <f t="shared" si="73"/>
        <v>1.2266068735600388</v>
      </c>
      <c r="AL53" s="564">
        <f t="shared" si="74"/>
        <v>48</v>
      </c>
      <c r="AM53" s="473">
        <f t="shared" si="75"/>
        <v>350</v>
      </c>
      <c r="AO53">
        <f t="shared" si="47"/>
        <v>48</v>
      </c>
      <c r="AP53" s="473">
        <f t="shared" si="24"/>
        <v>350</v>
      </c>
      <c r="AQ53" s="473"/>
      <c r="AR53" s="5">
        <f t="shared" si="48"/>
        <v>2.8571428571428572</v>
      </c>
      <c r="AS53" s="5">
        <f t="shared" si="25"/>
        <v>0.74689834840970348</v>
      </c>
      <c r="AT53" s="5">
        <f t="shared" si="49"/>
        <v>2.1102445087331536</v>
      </c>
      <c r="AU53" s="180">
        <f t="shared" si="50"/>
        <v>0.2614144219433962</v>
      </c>
      <c r="AW53" s="5">
        <f t="shared" si="76"/>
        <v>0.56906540831215502</v>
      </c>
      <c r="AX53" s="5">
        <f t="shared" si="77"/>
        <v>0.23900747149110513</v>
      </c>
      <c r="AY53" s="5">
        <f t="shared" si="28"/>
        <v>2.4619519268553457E-2</v>
      </c>
      <c r="AZ53" s="5"/>
      <c r="BA53" s="180">
        <f t="shared" si="51"/>
        <v>9.6208666617368169E-2</v>
      </c>
      <c r="BB53" s="180">
        <f t="shared" si="78"/>
        <v>9.5662290937836181E-2</v>
      </c>
      <c r="BC53" s="180">
        <f t="shared" si="79"/>
        <v>9.782794779747496E-2</v>
      </c>
      <c r="BD53" s="180"/>
      <c r="BE53" s="547">
        <f t="shared" si="31"/>
        <v>3.2396376363021621E-3</v>
      </c>
      <c r="BF53" s="547">
        <f t="shared" si="32"/>
        <v>4.2320618417890914E-2</v>
      </c>
      <c r="BG53" s="547">
        <f t="shared" si="33"/>
        <v>4.3749999999999995E-3</v>
      </c>
      <c r="BH53" s="547">
        <f t="shared" si="34"/>
        <v>2.7700251250000002E-2</v>
      </c>
      <c r="BI53">
        <f t="shared" si="35"/>
        <v>6.96E-3</v>
      </c>
      <c r="BJ53" s="473">
        <f t="shared" si="52"/>
        <v>84.595507304193077</v>
      </c>
      <c r="BK53" s="180">
        <f t="shared" si="80"/>
        <v>1.6799999999999999E-2</v>
      </c>
      <c r="BL53" s="180">
        <f t="shared" si="81"/>
        <v>1.6799999999999999E-2</v>
      </c>
      <c r="BM53" s="547"/>
      <c r="BO53" s="473">
        <f t="shared" si="53"/>
        <v>33.6</v>
      </c>
      <c r="BP53" s="547">
        <f t="shared" si="38"/>
        <v>1.0181718285521082E-3</v>
      </c>
      <c r="BQ53" s="547">
        <f t="shared" si="54"/>
        <v>3.2029458676163255E-4</v>
      </c>
      <c r="BR53" s="547">
        <f t="shared" si="82"/>
        <v>2.8710922110796453E-4</v>
      </c>
      <c r="BS53" s="547">
        <f t="shared" si="40"/>
        <v>6.948886905420215E-3</v>
      </c>
      <c r="BT53" s="657">
        <f t="shared" si="83"/>
        <v>3.7178181818181832E-2</v>
      </c>
      <c r="BU53" s="473">
        <f t="shared" si="55"/>
        <v>45.752644360023758</v>
      </c>
      <c r="BV53" s="180">
        <f t="shared" si="56"/>
        <v>0.16394815166421683</v>
      </c>
      <c r="BW53" s="5">
        <f t="shared" si="57"/>
        <v>1.0224</v>
      </c>
      <c r="BX53" s="180">
        <f t="shared" si="58"/>
        <v>0.86180435192297522</v>
      </c>
      <c r="BY53" s="5">
        <f t="shared" si="59"/>
        <v>86.180435192297523</v>
      </c>
      <c r="BZ53">
        <f t="shared" si="88"/>
        <v>48</v>
      </c>
      <c r="CB53" s="582">
        <f t="shared" si="84"/>
        <v>-50</v>
      </c>
      <c r="CC53">
        <f t="shared" si="85"/>
        <v>-50</v>
      </c>
    </row>
    <row r="54" spans="5:81" x14ac:dyDescent="0.25">
      <c r="E54" s="177">
        <v>49</v>
      </c>
      <c r="F54" s="224">
        <f t="shared" si="89"/>
        <v>4.9000000000000002E-2</v>
      </c>
      <c r="G54" s="224">
        <f t="shared" si="86"/>
        <v>4.9000000000000002E-2</v>
      </c>
      <c r="H54" s="224">
        <f t="shared" si="63"/>
        <v>0.30870000000000003</v>
      </c>
      <c r="I54" s="224">
        <f t="shared" si="90"/>
        <v>0.73499999999999999</v>
      </c>
      <c r="J54" s="560">
        <f t="shared" si="1"/>
        <v>24</v>
      </c>
      <c r="K54" s="455">
        <f t="shared" si="2"/>
        <v>13.1</v>
      </c>
      <c r="L54" s="455">
        <f t="shared" si="3"/>
        <v>37.1</v>
      </c>
      <c r="M54" s="455"/>
      <c r="N54" s="224">
        <f t="shared" si="4"/>
        <v>0.35309973045822102</v>
      </c>
      <c r="O54" s="179">
        <f t="shared" si="87"/>
        <v>1.6354982726547966</v>
      </c>
      <c r="P54" s="179">
        <f t="shared" si="64"/>
        <v>3.8940435063209446</v>
      </c>
      <c r="Q54" s="224">
        <f t="shared" si="6"/>
        <v>0.25960290042139628</v>
      </c>
      <c r="R54" s="224">
        <f t="shared" si="65"/>
        <v>0.10903321817698644</v>
      </c>
      <c r="S54" s="455">
        <f t="shared" si="66"/>
        <v>6.3</v>
      </c>
      <c r="T54" s="224">
        <f t="shared" si="67"/>
        <v>0.27368723494486852</v>
      </c>
      <c r="U54" s="224">
        <f t="shared" si="10"/>
        <v>0.62719991341532377</v>
      </c>
      <c r="V54" s="224">
        <f t="shared" si="11"/>
        <v>1.1490685436616617</v>
      </c>
      <c r="W54" s="204">
        <f t="shared" si="12"/>
        <v>350</v>
      </c>
      <c r="X54" s="455">
        <f t="shared" si="46"/>
        <v>350</v>
      </c>
      <c r="Z54" s="224">
        <f t="shared" si="13"/>
        <v>0.44022823537648331</v>
      </c>
      <c r="AA54" s="180">
        <f t="shared" si="14"/>
        <v>1.8482864844050828</v>
      </c>
      <c r="AB54" s="180">
        <f t="shared" si="68"/>
        <v>8.4231817558083441E-2</v>
      </c>
      <c r="AC54" s="180"/>
      <c r="AD54" s="180">
        <f t="shared" si="16"/>
        <v>1.217557251908397</v>
      </c>
      <c r="AE54" s="564">
        <f t="shared" si="69"/>
        <v>469.18891651353005</v>
      </c>
      <c r="AF54" s="547">
        <f t="shared" si="70"/>
        <v>3.6552440597785188E-2</v>
      </c>
      <c r="AH54" s="180">
        <f t="shared" si="71"/>
        <v>0.32929677137251689</v>
      </c>
      <c r="AI54" s="180">
        <f t="shared" si="72"/>
        <v>0.32929677137251689</v>
      </c>
      <c r="AJ54" s="180">
        <f t="shared" si="73"/>
        <v>1.2291087195351977</v>
      </c>
      <c r="AL54" s="564">
        <f t="shared" si="74"/>
        <v>49</v>
      </c>
      <c r="AM54" s="473">
        <f t="shared" si="75"/>
        <v>350</v>
      </c>
      <c r="AO54">
        <f t="shared" si="47"/>
        <v>49</v>
      </c>
      <c r="AP54" s="473">
        <f t="shared" si="24"/>
        <v>350</v>
      </c>
      <c r="AQ54" s="473"/>
      <c r="AR54" s="5">
        <f t="shared" si="48"/>
        <v>2.8571428571428572</v>
      </c>
      <c r="AS54" s="5">
        <f t="shared" si="25"/>
        <v>0.75463843439535128</v>
      </c>
      <c r="AT54" s="5">
        <f t="shared" si="49"/>
        <v>2.102504422747506</v>
      </c>
      <c r="AU54" s="180">
        <f t="shared" si="50"/>
        <v>0.26412345203837295</v>
      </c>
      <c r="AW54" s="5">
        <f t="shared" si="76"/>
        <v>0.58694100452971765</v>
      </c>
      <c r="AX54" s="5">
        <f t="shared" si="77"/>
        <v>0.2465152219024814</v>
      </c>
      <c r="AY54" s="5">
        <f t="shared" si="28"/>
        <v>2.5040243645916477E-2</v>
      </c>
      <c r="AZ54" s="5"/>
      <c r="BA54" s="180">
        <f t="shared" si="51"/>
        <v>9.77080458818083E-2</v>
      </c>
      <c r="BB54" s="180">
        <f t="shared" si="78"/>
        <v>9.6476217547893373E-2</v>
      </c>
      <c r="BC54" s="180">
        <f t="shared" si="79"/>
        <v>9.8660300536877674E-2</v>
      </c>
      <c r="BD54" s="180"/>
      <c r="BE54" s="547">
        <f t="shared" si="31"/>
        <v>3.3414017805145448E-3</v>
      </c>
      <c r="BF54" s="547">
        <f t="shared" si="32"/>
        <v>4.2759185762721322E-2</v>
      </c>
      <c r="BG54" s="547">
        <f t="shared" si="33"/>
        <v>4.3749999999999995E-3</v>
      </c>
      <c r="BH54" s="547">
        <f t="shared" si="34"/>
        <v>2.7700251250000002E-2</v>
      </c>
      <c r="BI54">
        <f t="shared" si="35"/>
        <v>6.96E-3</v>
      </c>
      <c r="BJ54" s="473">
        <f t="shared" si="52"/>
        <v>85.135838793235862</v>
      </c>
      <c r="BK54" s="180">
        <f t="shared" si="80"/>
        <v>1.7149999999999999E-2</v>
      </c>
      <c r="BL54" s="180">
        <f t="shared" si="81"/>
        <v>1.7149999999999999E-2</v>
      </c>
      <c r="BM54" s="547"/>
      <c r="BO54" s="473">
        <f t="shared" si="53"/>
        <v>34.299999999999997</v>
      </c>
      <c r="BP54" s="547">
        <f t="shared" si="38"/>
        <v>1.0501548453045713E-3</v>
      </c>
      <c r="BQ54" s="547">
        <f t="shared" si="54"/>
        <v>3.2576811933219575E-4</v>
      </c>
      <c r="BR54" s="547">
        <f t="shared" si="82"/>
        <v>2.9201564706081071E-4</v>
      </c>
      <c r="BS54" s="547">
        <f t="shared" si="40"/>
        <v>7.1303163211518415E-3</v>
      </c>
      <c r="BT54" s="657">
        <f t="shared" si="83"/>
        <v>3.7952727272727291E-2</v>
      </c>
      <c r="BU54" s="473">
        <f t="shared" si="55"/>
        <v>46.750982205576712</v>
      </c>
      <c r="BV54" s="180">
        <f t="shared" si="56"/>
        <v>0.1661868209988126</v>
      </c>
      <c r="BW54" s="5">
        <f t="shared" si="57"/>
        <v>1.0437000000000001</v>
      </c>
      <c r="BX54" s="180">
        <f t="shared" si="58"/>
        <v>0.86264267193057087</v>
      </c>
      <c r="BY54" s="5">
        <f t="shared" si="59"/>
        <v>86.264267193057094</v>
      </c>
      <c r="BZ54">
        <f t="shared" si="88"/>
        <v>49</v>
      </c>
      <c r="CB54" s="582">
        <f t="shared" si="84"/>
        <v>-50</v>
      </c>
      <c r="CC54">
        <f t="shared" si="85"/>
        <v>-50</v>
      </c>
    </row>
    <row r="55" spans="5:81" x14ac:dyDescent="0.25">
      <c r="E55" s="177">
        <v>50</v>
      </c>
      <c r="F55" s="224">
        <f t="shared" si="89"/>
        <v>0.05</v>
      </c>
      <c r="G55" s="224">
        <f t="shared" si="86"/>
        <v>0.05</v>
      </c>
      <c r="H55" s="224">
        <f t="shared" si="63"/>
        <v>0.315</v>
      </c>
      <c r="I55" s="224">
        <f t="shared" si="90"/>
        <v>0.75</v>
      </c>
      <c r="J55" s="560">
        <f t="shared" si="1"/>
        <v>24</v>
      </c>
      <c r="K55" s="455">
        <f t="shared" si="2"/>
        <v>13.1</v>
      </c>
      <c r="L55" s="455">
        <f t="shared" si="3"/>
        <v>37.1</v>
      </c>
      <c r="M55" s="455"/>
      <c r="N55" s="224">
        <f t="shared" si="4"/>
        <v>0.35309973045822102</v>
      </c>
      <c r="O55" s="179">
        <f t="shared" si="87"/>
        <v>1.6354982726547966</v>
      </c>
      <c r="P55" s="179">
        <f t="shared" si="64"/>
        <v>3.8940435063209446</v>
      </c>
      <c r="Q55" s="224">
        <f t="shared" si="6"/>
        <v>0.25960290042139628</v>
      </c>
      <c r="R55" s="224">
        <f t="shared" si="65"/>
        <v>0.10903321817698644</v>
      </c>
      <c r="S55" s="455">
        <f t="shared" si="66"/>
        <v>6.3</v>
      </c>
      <c r="T55" s="224">
        <f t="shared" si="67"/>
        <v>0.27927268871925359</v>
      </c>
      <c r="U55" s="224">
        <f t="shared" si="10"/>
        <v>0.63999991164828951</v>
      </c>
      <c r="V55" s="224">
        <f t="shared" si="11"/>
        <v>1.1725189221037366</v>
      </c>
      <c r="W55" s="204">
        <f t="shared" si="12"/>
        <v>350</v>
      </c>
      <c r="X55" s="455">
        <f t="shared" si="46"/>
        <v>350</v>
      </c>
      <c r="Z55" s="224">
        <f t="shared" si="13"/>
        <v>0.44022823537648331</v>
      </c>
      <c r="AA55" s="180">
        <f t="shared" si="14"/>
        <v>1.8482864844050828</v>
      </c>
      <c r="AB55" s="180">
        <f t="shared" si="68"/>
        <v>8.4231817558083441E-2</v>
      </c>
      <c r="AC55" s="180"/>
      <c r="AD55" s="180">
        <f t="shared" si="16"/>
        <v>1.217557251908397</v>
      </c>
      <c r="AE55" s="564">
        <f t="shared" si="69"/>
        <v>478.76420052401016</v>
      </c>
      <c r="AF55" s="547">
        <f t="shared" si="70"/>
        <v>3.6552440597785188E-2</v>
      </c>
      <c r="AH55" s="180">
        <f t="shared" si="71"/>
        <v>0.33263997151477548</v>
      </c>
      <c r="AI55" s="180">
        <f t="shared" si="72"/>
        <v>0.33263997151477548</v>
      </c>
      <c r="AJ55" s="180">
        <f t="shared" si="73"/>
        <v>1.2315851640850188</v>
      </c>
      <c r="AL55" s="564">
        <f t="shared" si="74"/>
        <v>50</v>
      </c>
      <c r="AM55" s="473">
        <f t="shared" si="75"/>
        <v>350</v>
      </c>
      <c r="AO55">
        <f t="shared" si="47"/>
        <v>50</v>
      </c>
      <c r="AP55" s="473">
        <f t="shared" si="24"/>
        <v>350</v>
      </c>
      <c r="AQ55" s="473"/>
      <c r="AR55" s="5">
        <f t="shared" si="48"/>
        <v>2.8571428571428572</v>
      </c>
      <c r="AS55" s="5">
        <f t="shared" si="25"/>
        <v>0.76229993472136048</v>
      </c>
      <c r="AT55" s="5">
        <f t="shared" si="49"/>
        <v>2.0948429224214968</v>
      </c>
      <c r="AU55" s="180">
        <f t="shared" si="50"/>
        <v>0.26680497715247614</v>
      </c>
      <c r="AW55" s="5">
        <f t="shared" si="76"/>
        <v>0.60499994819155589</v>
      </c>
      <c r="AX55" s="5">
        <f t="shared" si="77"/>
        <v>0.25409997824045349</v>
      </c>
      <c r="AY55" s="5">
        <f t="shared" si="28"/>
        <v>2.5458160515539015E-2</v>
      </c>
      <c r="AZ55" s="5"/>
      <c r="BA55" s="180">
        <f t="shared" si="51"/>
        <v>9.9199794139464351E-2</v>
      </c>
      <c r="BB55" s="180">
        <f t="shared" si="78"/>
        <v>9.7277970907845082E-2</v>
      </c>
      <c r="BC55" s="180">
        <f t="shared" si="79"/>
        <v>9.9480204441277975E-2</v>
      </c>
      <c r="BD55" s="180"/>
      <c r="BE55" s="547">
        <f t="shared" si="31"/>
        <v>3.4442097050592368E-3</v>
      </c>
      <c r="BF55" s="547">
        <f t="shared" si="32"/>
        <v>4.3193300301193595E-2</v>
      </c>
      <c r="BG55" s="547">
        <f t="shared" si="33"/>
        <v>4.3749999999999995E-3</v>
      </c>
      <c r="BH55" s="547">
        <f t="shared" si="34"/>
        <v>2.7700251250000002E-2</v>
      </c>
      <c r="BI55">
        <f t="shared" si="35"/>
        <v>6.96E-3</v>
      </c>
      <c r="BJ55" s="473">
        <f t="shared" si="52"/>
        <v>85.672761256252826</v>
      </c>
      <c r="BK55" s="180">
        <f t="shared" si="80"/>
        <v>1.7499999999999998E-2</v>
      </c>
      <c r="BL55" s="180">
        <f t="shared" si="81"/>
        <v>1.7499999999999998E-2</v>
      </c>
      <c r="BM55" s="547"/>
      <c r="BO55" s="473">
        <f t="shared" si="53"/>
        <v>34.999999999999993</v>
      </c>
      <c r="BP55" s="547">
        <f t="shared" si="38"/>
        <v>1.0824659073043316E-3</v>
      </c>
      <c r="BQ55" s="547">
        <f t="shared" si="54"/>
        <v>3.3120512683816443E-4</v>
      </c>
      <c r="BR55" s="547">
        <f t="shared" si="82"/>
        <v>2.9688933227035381E-4</v>
      </c>
      <c r="BS55" s="547">
        <f t="shared" si="40"/>
        <v>7.3126738190864068E-3</v>
      </c>
      <c r="BT55" s="657">
        <f t="shared" si="83"/>
        <v>3.8727272727272728E-2</v>
      </c>
      <c r="BU55" s="473">
        <f t="shared" si="55"/>
        <v>47.750506912771982</v>
      </c>
      <c r="BV55" s="180">
        <f t="shared" si="56"/>
        <v>0.16842326816902481</v>
      </c>
      <c r="BW55" s="5">
        <f t="shared" si="57"/>
        <v>1.0649999999999999</v>
      </c>
      <c r="BX55" s="180">
        <f t="shared" si="58"/>
        <v>0.86345055058103171</v>
      </c>
      <c r="BY55" s="5">
        <f t="shared" si="59"/>
        <v>86.345055058103171</v>
      </c>
      <c r="BZ55">
        <f t="shared" si="88"/>
        <v>50</v>
      </c>
      <c r="CB55" s="582">
        <f t="shared" si="84"/>
        <v>-50</v>
      </c>
      <c r="CC55">
        <f t="shared" si="85"/>
        <v>-50</v>
      </c>
    </row>
    <row r="56" spans="5:81" x14ac:dyDescent="0.25">
      <c r="E56" s="177">
        <v>51</v>
      </c>
      <c r="F56" s="224">
        <f t="shared" si="89"/>
        <v>5.1000000000000004E-2</v>
      </c>
      <c r="G56" s="224">
        <f t="shared" si="86"/>
        <v>5.1000000000000004E-2</v>
      </c>
      <c r="H56" s="224">
        <f t="shared" si="63"/>
        <v>0.32130000000000003</v>
      </c>
      <c r="I56" s="224">
        <f t="shared" si="90"/>
        <v>0.76500000000000001</v>
      </c>
      <c r="J56" s="560">
        <f t="shared" si="1"/>
        <v>24</v>
      </c>
      <c r="K56" s="455">
        <f t="shared" si="2"/>
        <v>13.1</v>
      </c>
      <c r="L56" s="455">
        <f t="shared" si="3"/>
        <v>37.1</v>
      </c>
      <c r="M56" s="455"/>
      <c r="N56" s="224">
        <f t="shared" si="4"/>
        <v>0.35309973045822102</v>
      </c>
      <c r="O56" s="179">
        <f t="shared" si="87"/>
        <v>1.6354982726547966</v>
      </c>
      <c r="P56" s="179">
        <f t="shared" si="64"/>
        <v>3.8940435063209446</v>
      </c>
      <c r="Q56" s="224">
        <f t="shared" si="6"/>
        <v>0.25960290042139628</v>
      </c>
      <c r="R56" s="224">
        <f t="shared" si="65"/>
        <v>0.10903321817698644</v>
      </c>
      <c r="S56" s="455">
        <f t="shared" si="66"/>
        <v>6.3</v>
      </c>
      <c r="T56" s="224">
        <f t="shared" si="67"/>
        <v>0.28485814249363867</v>
      </c>
      <c r="U56" s="224">
        <f t="shared" si="10"/>
        <v>0.65279990988125525</v>
      </c>
      <c r="V56" s="224">
        <f t="shared" si="11"/>
        <v>1.1959693005458112</v>
      </c>
      <c r="W56" s="204">
        <f t="shared" si="12"/>
        <v>350</v>
      </c>
      <c r="X56" s="455">
        <f t="shared" si="46"/>
        <v>350</v>
      </c>
      <c r="Z56" s="224">
        <f t="shared" si="13"/>
        <v>0.44022823537648331</v>
      </c>
      <c r="AA56" s="180">
        <f t="shared" si="14"/>
        <v>1.8482864844050828</v>
      </c>
      <c r="AB56" s="180">
        <f t="shared" si="68"/>
        <v>8.4231817558083441E-2</v>
      </c>
      <c r="AC56" s="180"/>
      <c r="AD56" s="180">
        <f t="shared" si="16"/>
        <v>1.217557251908397</v>
      </c>
      <c r="AE56" s="564">
        <f t="shared" si="69"/>
        <v>488.3394845344904</v>
      </c>
      <c r="AF56" s="547">
        <f t="shared" si="70"/>
        <v>3.6552440597785188E-2</v>
      </c>
      <c r="AH56" s="180">
        <f t="shared" si="71"/>
        <v>0.33594990350100962</v>
      </c>
      <c r="AI56" s="180">
        <f t="shared" si="72"/>
        <v>0.33594990350100962</v>
      </c>
      <c r="AJ56" s="180">
        <f t="shared" si="73"/>
        <v>1.2340369655563035</v>
      </c>
      <c r="AL56" s="564">
        <f t="shared" si="74"/>
        <v>51.000000000000007</v>
      </c>
      <c r="AM56" s="473">
        <f t="shared" si="75"/>
        <v>350</v>
      </c>
      <c r="AO56">
        <f t="shared" si="47"/>
        <v>51.000000000000007</v>
      </c>
      <c r="AP56" s="473">
        <f t="shared" si="24"/>
        <v>350</v>
      </c>
      <c r="AQ56" s="473"/>
      <c r="AR56" s="5">
        <f t="shared" si="48"/>
        <v>2.8571428571428572</v>
      </c>
      <c r="AS56" s="5">
        <f t="shared" si="25"/>
        <v>0.76988519552314716</v>
      </c>
      <c r="AT56" s="5">
        <f t="shared" si="49"/>
        <v>2.0872576616197103</v>
      </c>
      <c r="AU56" s="180">
        <f t="shared" si="50"/>
        <v>0.26945981843310152</v>
      </c>
      <c r="AW56" s="5">
        <f t="shared" si="76"/>
        <v>0.62324039637588102</v>
      </c>
      <c r="AX56" s="5">
        <f t="shared" si="77"/>
        <v>0.26176096647787006</v>
      </c>
      <c r="AY56" s="5">
        <f t="shared" si="28"/>
        <v>2.587329809716099E-2</v>
      </c>
      <c r="AZ56" s="5"/>
      <c r="BA56" s="180">
        <f t="shared" si="51"/>
        <v>0.10068410171493296</v>
      </c>
      <c r="BB56" s="180">
        <f t="shared" si="78"/>
        <v>9.80679030660771E-2</v>
      </c>
      <c r="BC56" s="180">
        <f t="shared" si="79"/>
        <v>0.10028801952893132</v>
      </c>
      <c r="BD56" s="180"/>
      <c r="BE56" s="547">
        <f t="shared" si="31"/>
        <v>3.548050918350038E-3</v>
      </c>
      <c r="BF56" s="547">
        <f t="shared" si="32"/>
        <v>4.3623094969606105E-2</v>
      </c>
      <c r="BG56" s="547">
        <f t="shared" si="33"/>
        <v>4.3749999999999995E-3</v>
      </c>
      <c r="BH56" s="547">
        <f t="shared" si="34"/>
        <v>2.7700251250000002E-2</v>
      </c>
      <c r="BI56">
        <f t="shared" si="35"/>
        <v>6.96E-3</v>
      </c>
      <c r="BJ56" s="473">
        <f t="shared" si="52"/>
        <v>86.206397137956131</v>
      </c>
      <c r="BK56" s="180">
        <f t="shared" si="80"/>
        <v>1.7850000000000001E-2</v>
      </c>
      <c r="BL56" s="180">
        <f t="shared" si="81"/>
        <v>1.7850000000000001E-2</v>
      </c>
      <c r="BM56" s="547"/>
      <c r="BO56" s="473">
        <f t="shared" si="53"/>
        <v>35.700000000000003</v>
      </c>
      <c r="BP56" s="547">
        <f t="shared" si="38"/>
        <v>1.1151017171957263E-3</v>
      </c>
      <c r="BQ56" s="547">
        <f t="shared" si="54"/>
        <v>3.3660597641221233E-4</v>
      </c>
      <c r="BR56" s="547">
        <f t="shared" si="82"/>
        <v>3.0173060583105931E-4</v>
      </c>
      <c r="BS56" s="547">
        <f t="shared" si="40"/>
        <v>7.4959454412450487E-3</v>
      </c>
      <c r="BT56" s="657">
        <f t="shared" si="83"/>
        <v>3.9501818181818193E-2</v>
      </c>
      <c r="BU56" s="473">
        <f t="shared" si="55"/>
        <v>48.75120192250224</v>
      </c>
      <c r="BV56" s="180">
        <f t="shared" si="56"/>
        <v>0.17065759906045841</v>
      </c>
      <c r="BW56" s="5">
        <f t="shared" si="57"/>
        <v>1.0863</v>
      </c>
      <c r="BX56" s="180">
        <f t="shared" si="58"/>
        <v>0.86422962939400638</v>
      </c>
      <c r="BY56" s="5">
        <f t="shared" si="59"/>
        <v>86.422962939400634</v>
      </c>
      <c r="BZ56">
        <f t="shared" si="88"/>
        <v>51</v>
      </c>
      <c r="CB56" s="582">
        <f t="shared" si="84"/>
        <v>-50</v>
      </c>
      <c r="CC56">
        <f t="shared" si="85"/>
        <v>-50</v>
      </c>
    </row>
    <row r="57" spans="5:81" x14ac:dyDescent="0.25">
      <c r="E57" s="177">
        <v>52</v>
      </c>
      <c r="F57" s="224">
        <f t="shared" si="89"/>
        <v>5.2000000000000005E-2</v>
      </c>
      <c r="G57" s="224">
        <f t="shared" si="86"/>
        <v>5.2000000000000005E-2</v>
      </c>
      <c r="H57" s="224">
        <f t="shared" si="63"/>
        <v>0.3276</v>
      </c>
      <c r="I57" s="224">
        <f t="shared" si="90"/>
        <v>0.78</v>
      </c>
      <c r="J57" s="560">
        <f t="shared" si="1"/>
        <v>24</v>
      </c>
      <c r="K57" s="455">
        <f t="shared" si="2"/>
        <v>13.1</v>
      </c>
      <c r="L57" s="455">
        <f t="shared" si="3"/>
        <v>37.1</v>
      </c>
      <c r="M57" s="455"/>
      <c r="N57" s="224">
        <f t="shared" si="4"/>
        <v>0.35309973045822102</v>
      </c>
      <c r="O57" s="179">
        <f t="shared" si="87"/>
        <v>1.6354982726547966</v>
      </c>
      <c r="P57" s="179">
        <f t="shared" si="64"/>
        <v>3.8940435063209446</v>
      </c>
      <c r="Q57" s="224">
        <f t="shared" si="6"/>
        <v>0.25960290042139628</v>
      </c>
      <c r="R57" s="224">
        <f t="shared" si="65"/>
        <v>0.10903321817698644</v>
      </c>
      <c r="S57" s="455">
        <f t="shared" si="66"/>
        <v>6.3</v>
      </c>
      <c r="T57" s="224">
        <f t="shared" si="67"/>
        <v>0.2904435962680238</v>
      </c>
      <c r="U57" s="224">
        <f t="shared" si="10"/>
        <v>0.66559990811422121</v>
      </c>
      <c r="V57" s="224">
        <f t="shared" si="11"/>
        <v>1.2194196789878862</v>
      </c>
      <c r="W57" s="204">
        <f t="shared" si="12"/>
        <v>350</v>
      </c>
      <c r="X57" s="455">
        <f t="shared" si="46"/>
        <v>350</v>
      </c>
      <c r="Z57" s="224">
        <f t="shared" si="13"/>
        <v>0.44022823537648331</v>
      </c>
      <c r="AA57" s="180">
        <f t="shared" si="14"/>
        <v>1.8482864844050828</v>
      </c>
      <c r="AB57" s="180">
        <f t="shared" si="68"/>
        <v>8.4231817558083441E-2</v>
      </c>
      <c r="AC57" s="180"/>
      <c r="AD57" s="180">
        <f t="shared" si="16"/>
        <v>1.217557251908397</v>
      </c>
      <c r="AE57" s="564">
        <f t="shared" si="69"/>
        <v>497.91476854497063</v>
      </c>
      <c r="AF57" s="547">
        <f t="shared" si="70"/>
        <v>3.6552440597785188E-2</v>
      </c>
      <c r="AH57" s="180">
        <f t="shared" si="71"/>
        <v>0.33922754115095771</v>
      </c>
      <c r="AI57" s="180">
        <f t="shared" si="72"/>
        <v>0.33922754115095771</v>
      </c>
      <c r="AJ57" s="180">
        <f t="shared" si="73"/>
        <v>1.2364648452970057</v>
      </c>
      <c r="AL57" s="564">
        <f t="shared" si="74"/>
        <v>52.000000000000007</v>
      </c>
      <c r="AM57" s="473">
        <f t="shared" si="75"/>
        <v>350</v>
      </c>
      <c r="AO57">
        <f t="shared" si="47"/>
        <v>52.000000000000007</v>
      </c>
      <c r="AP57" s="473">
        <f t="shared" si="24"/>
        <v>350</v>
      </c>
      <c r="AQ57" s="473"/>
      <c r="AR57" s="5">
        <f t="shared" si="48"/>
        <v>2.8571428571428572</v>
      </c>
      <c r="AS57" s="5">
        <f t="shared" si="25"/>
        <v>0.77739644847094469</v>
      </c>
      <c r="AT57" s="5">
        <f t="shared" si="49"/>
        <v>2.0797464086719124</v>
      </c>
      <c r="AU57" s="180">
        <f t="shared" si="50"/>
        <v>0.27208875696483065</v>
      </c>
      <c r="AW57" s="5">
        <f t="shared" si="76"/>
        <v>0.64166056064268462</v>
      </c>
      <c r="AX57" s="5">
        <f t="shared" si="77"/>
        <v>0.26949743546992749</v>
      </c>
      <c r="AY57" s="5">
        <f t="shared" si="28"/>
        <v>2.628568377627E-2</v>
      </c>
      <c r="AZ57" s="5"/>
      <c r="BA57" s="180">
        <f t="shared" si="51"/>
        <v>0.10216115055511302</v>
      </c>
      <c r="BB57" s="180">
        <f t="shared" si="78"/>
        <v>9.8846348922177835E-2</v>
      </c>
      <c r="BC57" s="180">
        <f t="shared" si="79"/>
        <v>0.10108408828107181</v>
      </c>
      <c r="BD57" s="180"/>
      <c r="BE57" s="547">
        <f t="shared" si="31"/>
        <v>3.6529152389605641E-3</v>
      </c>
      <c r="BF57" s="547">
        <f t="shared" si="32"/>
        <v>4.4048696218451859E-2</v>
      </c>
      <c r="BG57" s="547">
        <f t="shared" si="33"/>
        <v>4.3749999999999995E-3</v>
      </c>
      <c r="BH57" s="547">
        <f t="shared" si="34"/>
        <v>2.7700251250000002E-2</v>
      </c>
      <c r="BI57">
        <f t="shared" si="35"/>
        <v>6.96E-3</v>
      </c>
      <c r="BJ57" s="473">
        <f t="shared" si="52"/>
        <v>86.736862707412413</v>
      </c>
      <c r="BK57" s="180">
        <f t="shared" si="80"/>
        <v>1.8200000000000001E-2</v>
      </c>
      <c r="BL57" s="180">
        <f t="shared" si="81"/>
        <v>1.8200000000000001E-2</v>
      </c>
      <c r="BM57" s="547"/>
      <c r="BO57" s="473">
        <f t="shared" si="53"/>
        <v>36.4</v>
      </c>
      <c r="BP57" s="547">
        <f t="shared" si="38"/>
        <v>1.1480590751018916E-3</v>
      </c>
      <c r="BQ57" s="547">
        <f t="shared" si="54"/>
        <v>3.4197102433357248E-4</v>
      </c>
      <c r="BR57" s="547">
        <f t="shared" si="82"/>
        <v>3.0653978710846552E-4</v>
      </c>
      <c r="BS57" s="547">
        <f t="shared" si="40"/>
        <v>7.6801177098733053E-3</v>
      </c>
      <c r="BT57" s="657">
        <f t="shared" si="83"/>
        <v>4.0276363636363652E-2</v>
      </c>
      <c r="BU57" s="473">
        <f t="shared" si="55"/>
        <v>49.753051232780884</v>
      </c>
      <c r="BV57" s="180">
        <f t="shared" si="56"/>
        <v>0.17288991394019332</v>
      </c>
      <c r="BW57" s="5">
        <f t="shared" si="57"/>
        <v>1.1076000000000001</v>
      </c>
      <c r="BX57" s="180">
        <f t="shared" si="58"/>
        <v>0.86498143245174486</v>
      </c>
      <c r="BY57" s="5">
        <f t="shared" si="59"/>
        <v>86.498143245174489</v>
      </c>
      <c r="BZ57">
        <f t="shared" si="88"/>
        <v>52</v>
      </c>
      <c r="CB57" s="582">
        <f t="shared" si="84"/>
        <v>-50</v>
      </c>
      <c r="CC57">
        <f t="shared" si="85"/>
        <v>-50</v>
      </c>
    </row>
    <row r="58" spans="5:81" x14ac:dyDescent="0.25">
      <c r="E58" s="177">
        <v>53</v>
      </c>
      <c r="F58" s="224">
        <f t="shared" si="89"/>
        <v>5.3000000000000005E-2</v>
      </c>
      <c r="G58" s="224">
        <f t="shared" si="86"/>
        <v>5.3000000000000005E-2</v>
      </c>
      <c r="H58" s="224">
        <f t="shared" si="63"/>
        <v>0.33390000000000003</v>
      </c>
      <c r="I58" s="224">
        <f t="shared" si="90"/>
        <v>0.79500000000000004</v>
      </c>
      <c r="J58" s="560">
        <f t="shared" si="1"/>
        <v>24</v>
      </c>
      <c r="K58" s="455">
        <f t="shared" si="2"/>
        <v>13.1</v>
      </c>
      <c r="L58" s="455">
        <f t="shared" si="3"/>
        <v>37.1</v>
      </c>
      <c r="M58" s="455"/>
      <c r="N58" s="224">
        <f t="shared" si="4"/>
        <v>0.35309973045822102</v>
      </c>
      <c r="O58" s="179">
        <f t="shared" si="87"/>
        <v>1.6354982726547966</v>
      </c>
      <c r="P58" s="179">
        <f t="shared" si="64"/>
        <v>3.8940435063209446</v>
      </c>
      <c r="Q58" s="224">
        <f t="shared" si="6"/>
        <v>0.25960290042139628</v>
      </c>
      <c r="R58" s="224">
        <f t="shared" si="65"/>
        <v>0.10903321817698644</v>
      </c>
      <c r="S58" s="455">
        <f t="shared" si="66"/>
        <v>6.3</v>
      </c>
      <c r="T58" s="224">
        <f t="shared" si="67"/>
        <v>0.29602905004240881</v>
      </c>
      <c r="U58" s="224">
        <f t="shared" si="10"/>
        <v>0.67839990634718683</v>
      </c>
      <c r="V58" s="224">
        <f t="shared" si="11"/>
        <v>1.2428700574299607</v>
      </c>
      <c r="W58" s="204">
        <f t="shared" si="12"/>
        <v>350</v>
      </c>
      <c r="X58" s="455">
        <f t="shared" si="46"/>
        <v>350</v>
      </c>
      <c r="Z58" s="224">
        <f t="shared" si="13"/>
        <v>0.44022823537648331</v>
      </c>
      <c r="AA58" s="180">
        <f t="shared" si="14"/>
        <v>1.8482864844050828</v>
      </c>
      <c r="AB58" s="180">
        <f t="shared" si="68"/>
        <v>8.4231817558083441E-2</v>
      </c>
      <c r="AC58" s="180"/>
      <c r="AD58" s="180">
        <f t="shared" si="16"/>
        <v>1.217557251908397</v>
      </c>
      <c r="AE58" s="564">
        <f t="shared" si="69"/>
        <v>507.4900525554508</v>
      </c>
      <c r="AF58" s="547">
        <f t="shared" si="70"/>
        <v>3.6552440597785188E-2</v>
      </c>
      <c r="AH58" s="180">
        <f t="shared" si="71"/>
        <v>0.342473811682458</v>
      </c>
      <c r="AI58" s="180">
        <f t="shared" si="72"/>
        <v>0.342473811682458</v>
      </c>
      <c r="AJ58" s="180">
        <f t="shared" si="73"/>
        <v>1.238869490135154</v>
      </c>
      <c r="AL58" s="564">
        <f t="shared" si="74"/>
        <v>53.000000000000007</v>
      </c>
      <c r="AM58" s="473">
        <f t="shared" si="75"/>
        <v>350</v>
      </c>
      <c r="AO58">
        <f t="shared" si="47"/>
        <v>53.000000000000007</v>
      </c>
      <c r="AP58" s="473">
        <f t="shared" si="24"/>
        <v>350</v>
      </c>
      <c r="AQ58" s="473"/>
      <c r="AR58" s="5">
        <f t="shared" si="48"/>
        <v>2.8571428571428572</v>
      </c>
      <c r="AS58" s="5">
        <f t="shared" si="25"/>
        <v>0.78483581843896622</v>
      </c>
      <c r="AT58" s="5">
        <f t="shared" si="49"/>
        <v>2.0723070387038911</v>
      </c>
      <c r="AU58" s="180">
        <f t="shared" si="50"/>
        <v>0.27469253645363817</v>
      </c>
      <c r="AW58" s="5">
        <f t="shared" si="76"/>
        <v>0.66025870440103518</v>
      </c>
      <c r="AX58" s="5">
        <f t="shared" si="77"/>
        <v>0.27730865584843478</v>
      </c>
      <c r="AY58" s="5">
        <f t="shared" si="28"/>
        <v>2.6695344144414709E-2</v>
      </c>
      <c r="AZ58" s="5"/>
      <c r="BA58" s="180">
        <f t="shared" si="51"/>
        <v>0.10363111475167941</v>
      </c>
      <c r="BB58" s="180">
        <f t="shared" si="78"/>
        <v>9.9613627374185013E-2</v>
      </c>
      <c r="BC58" s="180">
        <f t="shared" si="79"/>
        <v>0.10186873681513066</v>
      </c>
      <c r="BD58" s="180"/>
      <c r="BE58" s="547">
        <f t="shared" si="31"/>
        <v>3.7587927806365107E-3</v>
      </c>
      <c r="BF58" s="547">
        <f t="shared" si="32"/>
        <v>4.4470224446967181E-2</v>
      </c>
      <c r="BG58" s="547">
        <f t="shared" si="33"/>
        <v>4.3749999999999995E-3</v>
      </c>
      <c r="BH58" s="547">
        <f t="shared" si="34"/>
        <v>2.7700251250000002E-2</v>
      </c>
      <c r="BI58">
        <f t="shared" si="35"/>
        <v>6.96E-3</v>
      </c>
      <c r="BJ58" s="473">
        <f t="shared" si="52"/>
        <v>87.264268477603679</v>
      </c>
      <c r="BK58" s="180">
        <f t="shared" si="80"/>
        <v>1.8550000000000001E-2</v>
      </c>
      <c r="BL58" s="180">
        <f t="shared" si="81"/>
        <v>1.8550000000000001E-2</v>
      </c>
      <c r="BM58" s="547"/>
      <c r="BO58" s="473">
        <f t="shared" si="53"/>
        <v>37.1</v>
      </c>
      <c r="BP58" s="547">
        <f t="shared" si="38"/>
        <v>1.181334873914332E-3</v>
      </c>
      <c r="BQ58" s="547">
        <f t="shared" si="54"/>
        <v>3.473006165525044E-4</v>
      </c>
      <c r="BR58" s="547">
        <f t="shared" si="82"/>
        <v>3.1131718620931069E-4</v>
      </c>
      <c r="BS58" s="547">
        <f t="shared" si="40"/>
        <v>7.8651776019766188E-3</v>
      </c>
      <c r="BT58" s="657">
        <f t="shared" si="83"/>
        <v>4.1050909090909103E-2</v>
      </c>
      <c r="BU58" s="473">
        <f t="shared" si="55"/>
        <v>50.756039369561869</v>
      </c>
      <c r="BV58" s="180">
        <f t="shared" si="56"/>
        <v>0.17512030784716553</v>
      </c>
      <c r="BW58" s="5">
        <f t="shared" si="57"/>
        <v>1.1289</v>
      </c>
      <c r="BX58" s="180">
        <f t="shared" si="58"/>
        <v>0.86570737679977139</v>
      </c>
      <c r="BY58" s="5">
        <f t="shared" si="59"/>
        <v>86.570737679977142</v>
      </c>
      <c r="BZ58">
        <f t="shared" si="88"/>
        <v>53</v>
      </c>
      <c r="CB58" s="582">
        <f t="shared" si="84"/>
        <v>-50</v>
      </c>
      <c r="CC58">
        <f t="shared" si="85"/>
        <v>-50</v>
      </c>
    </row>
    <row r="59" spans="5:81" x14ac:dyDescent="0.25">
      <c r="E59" s="177">
        <v>54</v>
      </c>
      <c r="F59" s="224">
        <f t="shared" si="89"/>
        <v>5.4000000000000006E-2</v>
      </c>
      <c r="G59" s="224">
        <f t="shared" si="86"/>
        <v>5.4000000000000006E-2</v>
      </c>
      <c r="H59" s="224">
        <f t="shared" si="63"/>
        <v>0.34020000000000006</v>
      </c>
      <c r="I59" s="224">
        <f t="shared" si="90"/>
        <v>0.81</v>
      </c>
      <c r="J59" s="560">
        <f t="shared" si="1"/>
        <v>24</v>
      </c>
      <c r="K59" s="455">
        <f t="shared" si="2"/>
        <v>13.1</v>
      </c>
      <c r="L59" s="455">
        <f t="shared" si="3"/>
        <v>37.1</v>
      </c>
      <c r="M59" s="455"/>
      <c r="N59" s="224">
        <f t="shared" si="4"/>
        <v>0.35309973045822102</v>
      </c>
      <c r="O59" s="179">
        <f t="shared" si="87"/>
        <v>1.6354982726547966</v>
      </c>
      <c r="P59" s="179">
        <f t="shared" si="64"/>
        <v>3.8940435063209446</v>
      </c>
      <c r="Q59" s="224">
        <f t="shared" si="6"/>
        <v>0.25960290042139628</v>
      </c>
      <c r="R59" s="224">
        <f t="shared" si="65"/>
        <v>0.10903321817698644</v>
      </c>
      <c r="S59" s="455">
        <f t="shared" si="66"/>
        <v>6.3</v>
      </c>
      <c r="T59" s="224">
        <f t="shared" si="67"/>
        <v>0.30161450381679389</v>
      </c>
      <c r="U59" s="224">
        <f t="shared" si="10"/>
        <v>0.69119990458015268</v>
      </c>
      <c r="V59" s="224">
        <f t="shared" si="11"/>
        <v>1.2663204358720355</v>
      </c>
      <c r="W59" s="204">
        <f t="shared" si="12"/>
        <v>350</v>
      </c>
      <c r="X59" s="455">
        <f t="shared" si="46"/>
        <v>350</v>
      </c>
      <c r="Z59" s="224">
        <f t="shared" si="13"/>
        <v>0.44022823537648331</v>
      </c>
      <c r="AA59" s="180">
        <f t="shared" si="14"/>
        <v>1.8482864844050828</v>
      </c>
      <c r="AB59" s="180">
        <f t="shared" si="68"/>
        <v>8.4231817558083441E-2</v>
      </c>
      <c r="AC59" s="180"/>
      <c r="AD59" s="180">
        <f t="shared" si="16"/>
        <v>1.217557251908397</v>
      </c>
      <c r="AE59" s="564">
        <f t="shared" si="69"/>
        <v>517.06533656593103</v>
      </c>
      <c r="AF59" s="547">
        <f t="shared" si="70"/>
        <v>3.6552440597785188E-2</v>
      </c>
      <c r="AH59" s="180">
        <f t="shared" si="71"/>
        <v>0.34568959877511318</v>
      </c>
      <c r="AI59" s="180">
        <f t="shared" si="72"/>
        <v>0.34568959877511318</v>
      </c>
      <c r="AJ59" s="180">
        <f t="shared" si="73"/>
        <v>1.2412515546482319</v>
      </c>
      <c r="AL59" s="564">
        <f t="shared" si="74"/>
        <v>54.000000000000007</v>
      </c>
      <c r="AM59" s="473">
        <f t="shared" si="75"/>
        <v>350</v>
      </c>
      <c r="AO59">
        <f t="shared" si="47"/>
        <v>54.000000000000007</v>
      </c>
      <c r="AP59" s="473">
        <f t="shared" si="24"/>
        <v>350</v>
      </c>
      <c r="AQ59" s="473"/>
      <c r="AR59" s="5">
        <f t="shared" si="48"/>
        <v>2.8571428571428572</v>
      </c>
      <c r="AS59" s="5">
        <f t="shared" si="25"/>
        <v>0.79220533052630115</v>
      </c>
      <c r="AT59" s="5">
        <f t="shared" si="49"/>
        <v>2.0649375266165562</v>
      </c>
      <c r="AU59" s="180">
        <f t="shared" si="50"/>
        <v>0.27727186568420542</v>
      </c>
      <c r="AW59" s="5">
        <f t="shared" si="76"/>
        <v>0.6790331404511154</v>
      </c>
      <c r="AX59" s="5">
        <f t="shared" si="77"/>
        <v>0.28519391898946844</v>
      </c>
      <c r="AY59" s="5">
        <f t="shared" si="28"/>
        <v>2.7102305036842304E-2</v>
      </c>
      <c r="AZ59" s="5"/>
      <c r="BA59" s="180">
        <f t="shared" si="51"/>
        <v>0.10509416102174693</v>
      </c>
      <c r="BB59" s="180">
        <f t="shared" si="78"/>
        <v>0.10037004236893318</v>
      </c>
      <c r="BC59" s="180">
        <f t="shared" si="79"/>
        <v>0.1026422759588622</v>
      </c>
      <c r="BD59" s="180"/>
      <c r="BE59" s="547">
        <f t="shared" si="31"/>
        <v>3.8656739383027047E-3</v>
      </c>
      <c r="BF59" s="547">
        <f t="shared" si="32"/>
        <v>4.4887794400948443E-2</v>
      </c>
      <c r="BG59" s="547">
        <f t="shared" si="33"/>
        <v>4.3749999999999995E-3</v>
      </c>
      <c r="BH59" s="547">
        <f t="shared" si="34"/>
        <v>2.7700251250000002E-2</v>
      </c>
      <c r="BI59">
        <f t="shared" si="35"/>
        <v>6.96E-3</v>
      </c>
      <c r="BJ59" s="473">
        <f t="shared" si="52"/>
        <v>87.78871958925113</v>
      </c>
      <c r="BK59" s="180">
        <f t="shared" si="80"/>
        <v>1.89E-2</v>
      </c>
      <c r="BL59" s="180">
        <f t="shared" si="81"/>
        <v>1.89E-2</v>
      </c>
      <c r="BM59" s="547"/>
      <c r="BO59" s="473">
        <f t="shared" si="53"/>
        <v>37.799999999999997</v>
      </c>
      <c r="BP59" s="547">
        <f t="shared" si="38"/>
        <v>1.2149260948951359E-3</v>
      </c>
      <c r="BQ59" s="547">
        <f t="shared" si="54"/>
        <v>3.5259508917995051E-4</v>
      </c>
      <c r="BR59" s="547">
        <f t="shared" si="82"/>
        <v>3.1606310442045666E-4</v>
      </c>
      <c r="BS59" s="547">
        <f t="shared" si="40"/>
        <v>8.0511125256624173E-3</v>
      </c>
      <c r="BT59" s="657">
        <f t="shared" si="83"/>
        <v>4.1825454545454568E-2</v>
      </c>
      <c r="BU59" s="473">
        <f t="shared" si="55"/>
        <v>51.760151359612522</v>
      </c>
      <c r="BV59" s="180">
        <f t="shared" si="56"/>
        <v>0.17734887094886365</v>
      </c>
      <c r="BW59" s="5">
        <f t="shared" si="57"/>
        <v>1.1502000000000001</v>
      </c>
      <c r="BX59" s="180">
        <f t="shared" si="58"/>
        <v>0.86640878175573011</v>
      </c>
      <c r="BY59" s="5">
        <f t="shared" si="59"/>
        <v>86.640878175573008</v>
      </c>
      <c r="BZ59">
        <f t="shared" si="88"/>
        <v>54</v>
      </c>
      <c r="CB59" s="582">
        <f t="shared" si="84"/>
        <v>-50</v>
      </c>
      <c r="CC59">
        <f t="shared" si="85"/>
        <v>-50</v>
      </c>
    </row>
    <row r="60" spans="5:81" x14ac:dyDescent="0.25">
      <c r="E60" s="177">
        <v>55</v>
      </c>
      <c r="F60" s="224">
        <f t="shared" si="89"/>
        <v>5.5000000000000007E-2</v>
      </c>
      <c r="G60" s="224">
        <f t="shared" si="86"/>
        <v>5.5000000000000007E-2</v>
      </c>
      <c r="H60" s="224">
        <f t="shared" si="63"/>
        <v>0.34650000000000003</v>
      </c>
      <c r="I60" s="224">
        <f t="shared" si="90"/>
        <v>0.82500000000000007</v>
      </c>
      <c r="J60" s="560">
        <f t="shared" si="1"/>
        <v>24</v>
      </c>
      <c r="K60" s="455">
        <f t="shared" si="2"/>
        <v>13.1</v>
      </c>
      <c r="L60" s="455">
        <f t="shared" si="3"/>
        <v>37.1</v>
      </c>
      <c r="M60" s="455"/>
      <c r="N60" s="224">
        <f t="shared" si="4"/>
        <v>0.35309973045822102</v>
      </c>
      <c r="O60" s="179">
        <f t="shared" si="87"/>
        <v>1.6354982726547966</v>
      </c>
      <c r="P60" s="179">
        <f t="shared" si="64"/>
        <v>3.8940435063209446</v>
      </c>
      <c r="Q60" s="224">
        <f t="shared" si="6"/>
        <v>0.25960290042139628</v>
      </c>
      <c r="R60" s="224">
        <f t="shared" si="65"/>
        <v>0.10903321817698644</v>
      </c>
      <c r="S60" s="455">
        <f t="shared" si="66"/>
        <v>6.3</v>
      </c>
      <c r="T60" s="224">
        <f t="shared" si="67"/>
        <v>0.30719995759117896</v>
      </c>
      <c r="U60" s="224">
        <f t="shared" si="10"/>
        <v>0.70399990281311853</v>
      </c>
      <c r="V60" s="224">
        <f t="shared" si="11"/>
        <v>1.2897708143141104</v>
      </c>
      <c r="W60" s="204">
        <f t="shared" si="12"/>
        <v>350</v>
      </c>
      <c r="X60" s="455">
        <f t="shared" si="46"/>
        <v>350</v>
      </c>
      <c r="Z60" s="224">
        <f t="shared" si="13"/>
        <v>0.44022823537648331</v>
      </c>
      <c r="AA60" s="180">
        <f t="shared" si="14"/>
        <v>1.8482864844050828</v>
      </c>
      <c r="AB60" s="180">
        <f t="shared" si="68"/>
        <v>8.4231817558083441E-2</v>
      </c>
      <c r="AC60" s="180"/>
      <c r="AD60" s="180">
        <f t="shared" si="16"/>
        <v>1.217557251908397</v>
      </c>
      <c r="AE60" s="564">
        <f t="shared" si="69"/>
        <v>526.64062057641127</v>
      </c>
      <c r="AF60" s="547">
        <f t="shared" si="70"/>
        <v>3.6552440597785188E-2</v>
      </c>
      <c r="AH60" s="180">
        <f t="shared" si="71"/>
        <v>0.34887574537976374</v>
      </c>
      <c r="AI60" s="180">
        <f t="shared" si="72"/>
        <v>0.34887574537976374</v>
      </c>
      <c r="AJ60" s="180">
        <f t="shared" si="73"/>
        <v>1.2436116632442693</v>
      </c>
      <c r="AL60" s="564">
        <f t="shared" si="74"/>
        <v>55.000000000000007</v>
      </c>
      <c r="AM60" s="473">
        <f t="shared" si="75"/>
        <v>350</v>
      </c>
      <c r="AO60">
        <f t="shared" si="47"/>
        <v>55.000000000000007</v>
      </c>
      <c r="AP60">
        <f t="shared" si="24"/>
        <v>350</v>
      </c>
      <c r="AR60" s="5">
        <f t="shared" si="48"/>
        <v>2.8571428571428572</v>
      </c>
      <c r="AS60" s="5">
        <f t="shared" si="25"/>
        <v>0.79950691649529182</v>
      </c>
      <c r="AT60" s="5">
        <f t="shared" si="49"/>
        <v>2.0576359406475655</v>
      </c>
      <c r="AU60" s="180">
        <f t="shared" si="50"/>
        <v>0.27982742077335215</v>
      </c>
      <c r="AW60" s="5">
        <f t="shared" si="76"/>
        <v>0.69798222868636606</v>
      </c>
      <c r="AX60" s="5">
        <f t="shared" si="77"/>
        <v>0.29315253604827374</v>
      </c>
      <c r="AY60" s="5">
        <f t="shared" si="28"/>
        <v>2.7506591567684462E-2</v>
      </c>
      <c r="AZ60" s="5"/>
      <c r="BA60" s="180">
        <f t="shared" si="51"/>
        <v>0.10655044915078091</v>
      </c>
      <c r="BB60" s="180">
        <f t="shared" si="78"/>
        <v>0.1011158838653238</v>
      </c>
      <c r="BC60" s="180">
        <f t="shared" si="79"/>
        <v>0.10340500223542091</v>
      </c>
      <c r="BD60" s="180"/>
      <c r="BE60" s="547">
        <f t="shared" si="31"/>
        <v>3.973549374981602E-3</v>
      </c>
      <c r="BF60" s="547">
        <f t="shared" si="32"/>
        <v>4.5301515537562315E-2</v>
      </c>
      <c r="BG60" s="547">
        <f t="shared" si="33"/>
        <v>4.3749999999999995E-3</v>
      </c>
      <c r="BH60" s="547">
        <f t="shared" si="34"/>
        <v>2.7700251250000002E-2</v>
      </c>
      <c r="BI60">
        <f t="shared" si="35"/>
        <v>6.96E-3</v>
      </c>
      <c r="BJ60" s="473">
        <f t="shared" si="52"/>
        <v>88.310316162543913</v>
      </c>
      <c r="BK60" s="180">
        <f t="shared" si="80"/>
        <v>1.925E-2</v>
      </c>
      <c r="BL60" s="180">
        <f t="shared" si="81"/>
        <v>1.925E-2</v>
      </c>
      <c r="BM60" s="547"/>
      <c r="BO60" s="473">
        <f t="shared" si="53"/>
        <v>38.5</v>
      </c>
      <c r="BP60" s="547">
        <f t="shared" si="38"/>
        <v>1.2488298035656462E-3</v>
      </c>
      <c r="BQ60" s="547">
        <f t="shared" si="54"/>
        <v>3.578547689452978E-4</v>
      </c>
      <c r="BR60" s="547">
        <f t="shared" si="82"/>
        <v>3.207778346192221E-4</v>
      </c>
      <c r="BS60" s="547">
        <f t="shared" si="40"/>
        <v>8.2379102981294042E-3</v>
      </c>
      <c r="BT60" s="657">
        <f t="shared" si="83"/>
        <v>4.260000000000002E-2</v>
      </c>
      <c r="BU60" s="473">
        <f t="shared" si="55"/>
        <v>52.765372705259594</v>
      </c>
      <c r="BV60" s="180">
        <f t="shared" si="56"/>
        <v>0.17957568886780348</v>
      </c>
      <c r="BW60" s="5">
        <f t="shared" si="57"/>
        <v>1.1715</v>
      </c>
      <c r="BX60" s="180">
        <f t="shared" si="58"/>
        <v>0.86708687725830724</v>
      </c>
      <c r="BY60" s="5">
        <f t="shared" si="59"/>
        <v>86.708687725830728</v>
      </c>
      <c r="BZ60">
        <f t="shared" si="88"/>
        <v>55.000000000000007</v>
      </c>
      <c r="CB60" s="582">
        <f t="shared" si="84"/>
        <v>-50</v>
      </c>
      <c r="CC60">
        <f t="shared" si="85"/>
        <v>-50</v>
      </c>
    </row>
    <row r="61" spans="5:81" x14ac:dyDescent="0.25">
      <c r="E61" s="177">
        <v>56</v>
      </c>
      <c r="F61" s="224">
        <f t="shared" si="89"/>
        <v>5.6000000000000008E-2</v>
      </c>
      <c r="G61" s="224">
        <f t="shared" si="86"/>
        <v>5.6000000000000008E-2</v>
      </c>
      <c r="H61" s="224">
        <f t="shared" si="63"/>
        <v>0.35280000000000006</v>
      </c>
      <c r="I61" s="224">
        <f t="shared" si="90"/>
        <v>0.84000000000000008</v>
      </c>
      <c r="J61" s="560">
        <f t="shared" si="1"/>
        <v>24</v>
      </c>
      <c r="K61" s="455">
        <f t="shared" si="2"/>
        <v>13.1</v>
      </c>
      <c r="L61" s="455">
        <f t="shared" si="3"/>
        <v>37.1</v>
      </c>
      <c r="M61" s="455"/>
      <c r="N61" s="224">
        <f t="shared" si="4"/>
        <v>0.35309973045822102</v>
      </c>
      <c r="O61" s="179">
        <f t="shared" si="87"/>
        <v>1.6354982726547966</v>
      </c>
      <c r="P61" s="179">
        <f t="shared" si="64"/>
        <v>3.8940435063209446</v>
      </c>
      <c r="Q61" s="224">
        <f t="shared" si="6"/>
        <v>0.25960290042139628</v>
      </c>
      <c r="R61" s="224">
        <f t="shared" si="65"/>
        <v>0.10903321817698644</v>
      </c>
      <c r="S61" s="455">
        <f t="shared" si="66"/>
        <v>6.3</v>
      </c>
      <c r="T61" s="224">
        <f t="shared" si="67"/>
        <v>0.31278541136556404</v>
      </c>
      <c r="U61" s="224">
        <f t="shared" si="10"/>
        <v>0.71679990104608426</v>
      </c>
      <c r="V61" s="224">
        <f t="shared" si="11"/>
        <v>1.313221192756185</v>
      </c>
      <c r="W61" s="204">
        <f t="shared" si="12"/>
        <v>350</v>
      </c>
      <c r="X61" s="455">
        <f t="shared" si="46"/>
        <v>350</v>
      </c>
      <c r="Z61" s="224">
        <f t="shared" si="13"/>
        <v>0.44022823537648331</v>
      </c>
      <c r="AA61" s="180">
        <f t="shared" si="14"/>
        <v>1.8482864844050828</v>
      </c>
      <c r="AB61" s="180">
        <f t="shared" si="68"/>
        <v>8.4231817558083441E-2</v>
      </c>
      <c r="AC61" s="180"/>
      <c r="AD61" s="180">
        <f t="shared" si="16"/>
        <v>1.217557251908397</v>
      </c>
      <c r="AE61" s="564">
        <f t="shared" si="69"/>
        <v>536.2159045868915</v>
      </c>
      <c r="AF61" s="547">
        <f t="shared" si="70"/>
        <v>3.6552440597785188E-2</v>
      </c>
      <c r="AH61" s="180">
        <f t="shared" si="71"/>
        <v>0.35203305629908216</v>
      </c>
      <c r="AI61" s="180">
        <f t="shared" si="72"/>
        <v>0.35203305629908216</v>
      </c>
      <c r="AJ61" s="180">
        <f t="shared" si="73"/>
        <v>1.2459504120733942</v>
      </c>
      <c r="AL61" s="564">
        <f t="shared" si="74"/>
        <v>56.000000000000007</v>
      </c>
      <c r="AM61" s="473">
        <f t="shared" si="75"/>
        <v>350</v>
      </c>
      <c r="AO61">
        <f t="shared" si="47"/>
        <v>56.000000000000007</v>
      </c>
      <c r="AP61">
        <f t="shared" si="24"/>
        <v>350</v>
      </c>
      <c r="AR61" s="5">
        <f t="shared" si="48"/>
        <v>2.8571428571428572</v>
      </c>
      <c r="AS61" s="5">
        <f t="shared" si="25"/>
        <v>0.80674242068539659</v>
      </c>
      <c r="AT61" s="5">
        <f t="shared" si="49"/>
        <v>2.0504004364574606</v>
      </c>
      <c r="AU61" s="180">
        <f t="shared" si="50"/>
        <v>0.28235984723988877</v>
      </c>
      <c r="AW61" s="5">
        <f t="shared" si="76"/>
        <v>0.71710437394257476</v>
      </c>
      <c r="AX61" s="5">
        <f t="shared" si="77"/>
        <v>0.30118383705588142</v>
      </c>
      <c r="AY61" s="5">
        <f t="shared" si="28"/>
        <v>2.790822816289321E-2</v>
      </c>
      <c r="AZ61" s="5"/>
      <c r="BA61" s="180">
        <f t="shared" si="51"/>
        <v>0.10800013240135213</v>
      </c>
      <c r="BB61" s="180">
        <f t="shared" si="78"/>
        <v>0.10185142871918387</v>
      </c>
      <c r="BC61" s="180">
        <f t="shared" si="79"/>
        <v>0.10415719876825205</v>
      </c>
      <c r="BD61" s="180"/>
      <c r="BE61" s="547">
        <f t="shared" si="31"/>
        <v>4.0824100095483568E-3</v>
      </c>
      <c r="BF61" s="547">
        <f t="shared" si="32"/>
        <v>4.5711492360435819E-2</v>
      </c>
      <c r="BG61" s="547">
        <f t="shared" si="33"/>
        <v>4.3749999999999995E-3</v>
      </c>
      <c r="BH61" s="547">
        <f t="shared" si="34"/>
        <v>2.7700251250000002E-2</v>
      </c>
      <c r="BI61">
        <f t="shared" si="35"/>
        <v>6.96E-3</v>
      </c>
      <c r="BJ61" s="473">
        <f t="shared" si="52"/>
        <v>88.829153619984169</v>
      </c>
      <c r="BK61" s="180">
        <f t="shared" si="80"/>
        <v>1.9600000000000003E-2</v>
      </c>
      <c r="BL61" s="180">
        <f t="shared" si="81"/>
        <v>1.9600000000000003E-2</v>
      </c>
      <c r="BM61" s="547"/>
      <c r="BO61" s="473">
        <f t="shared" si="53"/>
        <v>39.200000000000003</v>
      </c>
      <c r="BP61" s="547">
        <f t="shared" si="38"/>
        <v>1.283043145858055E-3</v>
      </c>
      <c r="BQ61" s="547">
        <f t="shared" si="54"/>
        <v>3.6307997362486485E-4</v>
      </c>
      <c r="BR61" s="547">
        <f t="shared" si="82"/>
        <v>3.2546166165747499E-4</v>
      </c>
      <c r="BS61" s="547">
        <f t="shared" si="40"/>
        <v>8.4255591251615036E-3</v>
      </c>
      <c r="BT61" s="657">
        <f t="shared" si="83"/>
        <v>4.3374545454545464E-2</v>
      </c>
      <c r="BU61" s="473">
        <f t="shared" si="55"/>
        <v>53.771689360847361</v>
      </c>
      <c r="BV61" s="180">
        <f t="shared" si="56"/>
        <v>0.18180084298083155</v>
      </c>
      <c r="BW61" s="5">
        <f t="shared" si="57"/>
        <v>1.1928000000000001</v>
      </c>
      <c r="BX61" s="180">
        <f t="shared" si="58"/>
        <v>0.8677428113701755</v>
      </c>
      <c r="BY61" s="5">
        <f t="shared" si="59"/>
        <v>86.774281137017553</v>
      </c>
      <c r="BZ61">
        <f t="shared" si="88"/>
        <v>56.000000000000007</v>
      </c>
      <c r="CB61" s="582">
        <f t="shared" si="84"/>
        <v>-50</v>
      </c>
      <c r="CC61">
        <f t="shared" si="85"/>
        <v>-50</v>
      </c>
    </row>
    <row r="62" spans="5:81" x14ac:dyDescent="0.25">
      <c r="E62" s="177">
        <v>57</v>
      </c>
      <c r="F62" s="224">
        <f t="shared" si="89"/>
        <v>5.6999999999999995E-2</v>
      </c>
      <c r="G62" s="224">
        <f t="shared" si="86"/>
        <v>5.6999999999999995E-2</v>
      </c>
      <c r="H62" s="224">
        <f t="shared" si="63"/>
        <v>0.35909999999999997</v>
      </c>
      <c r="I62" s="224">
        <f t="shared" si="90"/>
        <v>0.85499999999999998</v>
      </c>
      <c r="J62" s="560">
        <f t="shared" si="1"/>
        <v>24</v>
      </c>
      <c r="K62" s="455">
        <f t="shared" si="2"/>
        <v>13.1</v>
      </c>
      <c r="L62" s="455">
        <f t="shared" si="3"/>
        <v>37.1</v>
      </c>
      <c r="M62" s="455"/>
      <c r="N62" s="224">
        <f t="shared" si="4"/>
        <v>0.35309973045822102</v>
      </c>
      <c r="O62" s="179">
        <f t="shared" si="87"/>
        <v>1.6354982726547966</v>
      </c>
      <c r="P62" s="179">
        <f t="shared" si="64"/>
        <v>3.8940435063209446</v>
      </c>
      <c r="Q62" s="224">
        <f t="shared" si="6"/>
        <v>0.25960290042139628</v>
      </c>
      <c r="R62" s="224">
        <f t="shared" si="65"/>
        <v>0.10903321817698644</v>
      </c>
      <c r="S62" s="455">
        <f t="shared" si="66"/>
        <v>6.3</v>
      </c>
      <c r="T62" s="224">
        <f t="shared" si="67"/>
        <v>0.31837086513994911</v>
      </c>
      <c r="U62" s="224">
        <f t="shared" si="10"/>
        <v>0.72959989927905011</v>
      </c>
      <c r="V62" s="224">
        <f t="shared" si="11"/>
        <v>1.33667157119826</v>
      </c>
      <c r="W62" s="204">
        <f t="shared" si="12"/>
        <v>350</v>
      </c>
      <c r="X62" s="455">
        <f t="shared" si="46"/>
        <v>350</v>
      </c>
      <c r="Z62" s="224">
        <f t="shared" si="13"/>
        <v>0.44022823537648331</v>
      </c>
      <c r="AA62" s="180">
        <f t="shared" si="14"/>
        <v>1.8482864844050828</v>
      </c>
      <c r="AB62" s="180">
        <f t="shared" si="68"/>
        <v>8.4231817558083441E-2</v>
      </c>
      <c r="AC62" s="180"/>
      <c r="AD62" s="180">
        <f t="shared" si="16"/>
        <v>1.217557251908397</v>
      </c>
      <c r="AE62" s="564">
        <f t="shared" si="69"/>
        <v>545.7911885973715</v>
      </c>
      <c r="AF62" s="547">
        <f t="shared" si="70"/>
        <v>3.6552440597785188E-2</v>
      </c>
      <c r="AH62" s="180">
        <f t="shared" si="71"/>
        <v>0.35516230056167242</v>
      </c>
      <c r="AI62" s="180">
        <f t="shared" si="72"/>
        <v>0.35516230056167242</v>
      </c>
      <c r="AJ62" s="180">
        <f t="shared" si="73"/>
        <v>1.2482683707864239</v>
      </c>
      <c r="AL62" s="564">
        <f t="shared" si="74"/>
        <v>56.999999999999993</v>
      </c>
      <c r="AM62" s="473">
        <f t="shared" si="75"/>
        <v>350</v>
      </c>
      <c r="AO62">
        <f t="shared" si="47"/>
        <v>56.999999999999993</v>
      </c>
      <c r="AP62">
        <f t="shared" si="24"/>
        <v>350</v>
      </c>
      <c r="AR62" s="5">
        <f t="shared" si="48"/>
        <v>2.8571428571428572</v>
      </c>
      <c r="AS62" s="5">
        <f t="shared" si="25"/>
        <v>0.81391360545383273</v>
      </c>
      <c r="AT62" s="5">
        <f t="shared" si="49"/>
        <v>2.0432292516890245</v>
      </c>
      <c r="AU62" s="180">
        <f t="shared" si="50"/>
        <v>0.28486976190884145</v>
      </c>
      <c r="AW62" s="5">
        <f t="shared" si="76"/>
        <v>0.73639802398203913</v>
      </c>
      <c r="AX62" s="5">
        <f t="shared" si="77"/>
        <v>0.30928717007245643</v>
      </c>
      <c r="AY62" s="5">
        <f t="shared" si="28"/>
        <v>2.8307238591108348E-2</v>
      </c>
      <c r="AZ62" s="5"/>
      <c r="BA62" s="180">
        <f t="shared" si="51"/>
        <v>0.10944335789093097</v>
      </c>
      <c r="BB62" s="180">
        <f t="shared" si="78"/>
        <v>0.10257694149737855</v>
      </c>
      <c r="BC62" s="180">
        <f t="shared" si="79"/>
        <v>0.10489913611363458</v>
      </c>
      <c r="BD62" s="180"/>
      <c r="BE62" s="547">
        <f t="shared" si="31"/>
        <v>4.1922470052548405E-3</v>
      </c>
      <c r="BF62" s="547">
        <f t="shared" si="32"/>
        <v>4.6117824727933167E-2</v>
      </c>
      <c r="BG62" s="547">
        <f t="shared" si="33"/>
        <v>4.3749999999999995E-3</v>
      </c>
      <c r="BH62" s="547">
        <f t="shared" si="34"/>
        <v>2.7700251250000002E-2</v>
      </c>
      <c r="BI62">
        <f t="shared" si="35"/>
        <v>6.96E-3</v>
      </c>
      <c r="BJ62" s="473">
        <f t="shared" si="52"/>
        <v>89.345322983188012</v>
      </c>
      <c r="BK62" s="180">
        <f t="shared" si="80"/>
        <v>1.9949999999999996E-2</v>
      </c>
      <c r="BL62" s="180">
        <f t="shared" si="81"/>
        <v>1.9949999999999996E-2</v>
      </c>
      <c r="BM62" s="547"/>
      <c r="BO62" s="473">
        <f t="shared" si="53"/>
        <v>39.899999999999991</v>
      </c>
      <c r="BP62" s="547">
        <f t="shared" si="38"/>
        <v>1.3175633445086643E-3</v>
      </c>
      <c r="BQ62" s="547">
        <f t="shared" si="54"/>
        <v>3.6827101244348172E-4</v>
      </c>
      <c r="BR62" s="547">
        <f t="shared" si="82"/>
        <v>3.3011486272160499E-4</v>
      </c>
      <c r="BS62" s="547">
        <f t="shared" si="40"/>
        <v>8.6140475819984439E-3</v>
      </c>
      <c r="BT62" s="657">
        <f t="shared" si="83"/>
        <v>4.4149090909090916E-2</v>
      </c>
      <c r="BU62" s="473">
        <f t="shared" si="55"/>
        <v>54.779087710763115</v>
      </c>
      <c r="BV62" s="180">
        <f t="shared" si="56"/>
        <v>0.18402441069395112</v>
      </c>
      <c r="BW62" s="5">
        <f t="shared" si="57"/>
        <v>1.2141</v>
      </c>
      <c r="BX62" s="180">
        <f t="shared" si="58"/>
        <v>0.86837765703367442</v>
      </c>
      <c r="BY62" s="5">
        <f t="shared" si="59"/>
        <v>86.837765703367438</v>
      </c>
      <c r="BZ62">
        <f t="shared" si="88"/>
        <v>56.999999999999993</v>
      </c>
      <c r="CB62" s="582">
        <f t="shared" si="84"/>
        <v>-50</v>
      </c>
      <c r="CC62">
        <f t="shared" si="85"/>
        <v>-50</v>
      </c>
    </row>
    <row r="63" spans="5:81" x14ac:dyDescent="0.25">
      <c r="E63" s="177">
        <v>58</v>
      </c>
      <c r="F63" s="224">
        <f t="shared" si="89"/>
        <v>5.7999999999999996E-2</v>
      </c>
      <c r="G63" s="224">
        <f t="shared" si="86"/>
        <v>5.7999999999999996E-2</v>
      </c>
      <c r="H63" s="224">
        <f t="shared" si="63"/>
        <v>0.36539999999999995</v>
      </c>
      <c r="I63" s="224">
        <f t="shared" si="90"/>
        <v>0.86999999999999988</v>
      </c>
      <c r="J63" s="560">
        <f t="shared" si="1"/>
        <v>24</v>
      </c>
      <c r="K63" s="455">
        <f t="shared" si="2"/>
        <v>13.1</v>
      </c>
      <c r="L63" s="455">
        <f t="shared" si="3"/>
        <v>37.1</v>
      </c>
      <c r="M63" s="455"/>
      <c r="N63" s="224">
        <f t="shared" si="4"/>
        <v>0.35309973045822102</v>
      </c>
      <c r="O63" s="179">
        <f t="shared" si="87"/>
        <v>1.6354982726547966</v>
      </c>
      <c r="P63" s="179">
        <f t="shared" si="64"/>
        <v>3.8940435063209446</v>
      </c>
      <c r="Q63" s="224">
        <f t="shared" si="6"/>
        <v>0.25960290042139628</v>
      </c>
      <c r="R63" s="224">
        <f t="shared" si="65"/>
        <v>0.10903321817698644</v>
      </c>
      <c r="S63" s="455">
        <f t="shared" si="66"/>
        <v>6.3</v>
      </c>
      <c r="T63" s="224">
        <f t="shared" si="67"/>
        <v>0.32395631891433413</v>
      </c>
      <c r="U63" s="224">
        <f t="shared" si="10"/>
        <v>0.74239989751201563</v>
      </c>
      <c r="V63" s="224">
        <f t="shared" si="11"/>
        <v>1.3601219496403341</v>
      </c>
      <c r="W63" s="204">
        <f t="shared" si="12"/>
        <v>350</v>
      </c>
      <c r="X63" s="455">
        <f t="shared" si="46"/>
        <v>350</v>
      </c>
      <c r="Z63" s="224">
        <f t="shared" si="13"/>
        <v>0.44022823537648331</v>
      </c>
      <c r="AA63" s="180">
        <f t="shared" si="14"/>
        <v>1.8482864844050828</v>
      </c>
      <c r="AB63" s="180">
        <f t="shared" si="68"/>
        <v>8.4231817558083441E-2</v>
      </c>
      <c r="AC63" s="180"/>
      <c r="AD63" s="180">
        <f t="shared" si="16"/>
        <v>1.217557251908397</v>
      </c>
      <c r="AE63" s="564">
        <f t="shared" si="69"/>
        <v>555.36647260785173</v>
      </c>
      <c r="AF63" s="547">
        <f t="shared" si="70"/>
        <v>3.6552440597785188E-2</v>
      </c>
      <c r="AH63" s="180">
        <f t="shared" si="71"/>
        <v>0.35826421360951854</v>
      </c>
      <c r="AI63" s="180">
        <f t="shared" si="72"/>
        <v>0.35826421360951854</v>
      </c>
      <c r="AJ63" s="180">
        <f t="shared" si="73"/>
        <v>1.2505660841551989</v>
      </c>
      <c r="AL63" s="564">
        <f t="shared" si="74"/>
        <v>57.999999999999993</v>
      </c>
      <c r="AM63" s="473">
        <f t="shared" si="75"/>
        <v>350</v>
      </c>
      <c r="AO63">
        <f t="shared" si="47"/>
        <v>57.999999999999993</v>
      </c>
      <c r="AP63">
        <f t="shared" si="24"/>
        <v>350</v>
      </c>
      <c r="AR63" s="5">
        <f t="shared" si="48"/>
        <v>2.8571428571428572</v>
      </c>
      <c r="AS63" s="5">
        <f t="shared" si="25"/>
        <v>0.82102215618847996</v>
      </c>
      <c r="AT63" s="5">
        <f t="shared" si="49"/>
        <v>2.0361207009543771</v>
      </c>
      <c r="AU63" s="180">
        <f t="shared" si="50"/>
        <v>0.28735775466596797</v>
      </c>
      <c r="AW63" s="5">
        <f t="shared" si="76"/>
        <v>0.75586166760209272</v>
      </c>
      <c r="AX63" s="5">
        <f t="shared" si="77"/>
        <v>0.31746190039287892</v>
      </c>
      <c r="AY63" s="5">
        <f t="shared" si="28"/>
        <v>2.8703645992620722E-2</v>
      </c>
      <c r="AZ63" s="5"/>
      <c r="BA63" s="180">
        <f t="shared" si="51"/>
        <v>0.11088026694156769</v>
      </c>
      <c r="BB63" s="180">
        <f t="shared" si="78"/>
        <v>0.10329267522797202</v>
      </c>
      <c r="BC63" s="180">
        <f t="shared" si="79"/>
        <v>0.10563107302782462</v>
      </c>
      <c r="BD63" s="180"/>
      <c r="BE63" s="547">
        <f t="shared" si="31"/>
        <v>4.3030517589616579E-3</v>
      </c>
      <c r="BF63" s="547">
        <f t="shared" si="32"/>
        <v>4.6520608137195989E-2</v>
      </c>
      <c r="BG63" s="547">
        <f t="shared" si="33"/>
        <v>4.3749999999999995E-3</v>
      </c>
      <c r="BH63" s="547">
        <f t="shared" si="34"/>
        <v>2.7700251250000002E-2</v>
      </c>
      <c r="BI63">
        <f t="shared" si="35"/>
        <v>6.96E-3</v>
      </c>
      <c r="BJ63" s="473">
        <f t="shared" si="52"/>
        <v>89.858911146157638</v>
      </c>
      <c r="BK63" s="180">
        <f t="shared" si="80"/>
        <v>2.0299999999999999E-2</v>
      </c>
      <c r="BL63" s="180">
        <f t="shared" si="81"/>
        <v>2.0299999999999999E-2</v>
      </c>
      <c r="BM63" s="547"/>
      <c r="BO63" s="473">
        <f t="shared" si="53"/>
        <v>40.599999999999994</v>
      </c>
      <c r="BP63" s="547">
        <f t="shared" si="38"/>
        <v>1.3523876956736639E-3</v>
      </c>
      <c r="BQ63" s="547">
        <f t="shared" si="54"/>
        <v>3.7342818645129562E-4</v>
      </c>
      <c r="BR63" s="547">
        <f t="shared" si="82"/>
        <v>3.3473770767028857E-4</v>
      </c>
      <c r="BS63" s="547">
        <f t="shared" si="40"/>
        <v>8.8033645954679746E-3</v>
      </c>
      <c r="BT63" s="657">
        <f t="shared" si="83"/>
        <v>4.492363636363636E-2</v>
      </c>
      <c r="BU63" s="473">
        <f t="shared" si="55"/>
        <v>55.787554548899578</v>
      </c>
      <c r="BV63" s="180">
        <f t="shared" si="56"/>
        <v>0.18624646569505723</v>
      </c>
      <c r="BW63" s="5">
        <f t="shared" si="57"/>
        <v>1.2353999999999998</v>
      </c>
      <c r="BX63" s="180">
        <f t="shared" si="58"/>
        <v>0.86899241816494821</v>
      </c>
      <c r="BY63" s="5">
        <f t="shared" si="59"/>
        <v>86.899241816494822</v>
      </c>
      <c r="BZ63">
        <f t="shared" si="88"/>
        <v>57.999999999999993</v>
      </c>
      <c r="CB63" s="582">
        <f t="shared" si="84"/>
        <v>-50</v>
      </c>
      <c r="CC63">
        <f t="shared" si="85"/>
        <v>-50</v>
      </c>
    </row>
    <row r="64" spans="5:81" x14ac:dyDescent="0.25">
      <c r="E64" s="177">
        <v>59</v>
      </c>
      <c r="F64" s="224">
        <f t="shared" si="89"/>
        <v>5.8999999999999997E-2</v>
      </c>
      <c r="G64" s="224">
        <f t="shared" si="86"/>
        <v>5.8999999999999997E-2</v>
      </c>
      <c r="H64" s="224">
        <f t="shared" si="63"/>
        <v>0.37169999999999997</v>
      </c>
      <c r="I64" s="224">
        <f t="shared" si="90"/>
        <v>0.88500000000000001</v>
      </c>
      <c r="J64" s="560">
        <f t="shared" si="1"/>
        <v>24</v>
      </c>
      <c r="K64" s="455">
        <f t="shared" si="2"/>
        <v>13.1</v>
      </c>
      <c r="L64" s="455">
        <f t="shared" si="3"/>
        <v>37.1</v>
      </c>
      <c r="M64" s="455"/>
      <c r="N64" s="224">
        <f t="shared" si="4"/>
        <v>0.35309973045822102</v>
      </c>
      <c r="O64" s="179">
        <f t="shared" si="87"/>
        <v>1.6354982726547966</v>
      </c>
      <c r="P64" s="179">
        <f t="shared" si="64"/>
        <v>3.8940435063209446</v>
      </c>
      <c r="Q64" s="224">
        <f t="shared" si="6"/>
        <v>0.25960290042139628</v>
      </c>
      <c r="R64" s="224">
        <f t="shared" si="65"/>
        <v>0.10903321817698644</v>
      </c>
      <c r="S64" s="455">
        <f t="shared" si="66"/>
        <v>6.3</v>
      </c>
      <c r="T64" s="224">
        <f t="shared" si="67"/>
        <v>0.3295417726887192</v>
      </c>
      <c r="U64" s="224">
        <f t="shared" si="10"/>
        <v>0.75519989574498159</v>
      </c>
      <c r="V64" s="224">
        <f t="shared" si="11"/>
        <v>1.383572328082409</v>
      </c>
      <c r="W64" s="204">
        <f t="shared" si="12"/>
        <v>350</v>
      </c>
      <c r="X64" s="455">
        <f t="shared" si="46"/>
        <v>350</v>
      </c>
      <c r="Z64" s="224">
        <f t="shared" si="13"/>
        <v>0.44022823537648331</v>
      </c>
      <c r="AA64" s="180">
        <f t="shared" si="14"/>
        <v>1.8482864844050828</v>
      </c>
      <c r="AB64" s="180">
        <f t="shared" si="68"/>
        <v>8.4231817558083441E-2</v>
      </c>
      <c r="AC64" s="180"/>
      <c r="AD64" s="180">
        <f t="shared" si="16"/>
        <v>1.217557251908397</v>
      </c>
      <c r="AE64" s="564">
        <f t="shared" si="69"/>
        <v>564.94175661833197</v>
      </c>
      <c r="AF64" s="547">
        <f t="shared" si="70"/>
        <v>3.6552440597785188E-2</v>
      </c>
      <c r="AH64" s="180">
        <f t="shared" si="71"/>
        <v>0.36133949931640985</v>
      </c>
      <c r="AI64" s="180">
        <f t="shared" si="72"/>
        <v>0.36133949931640985</v>
      </c>
      <c r="AJ64" s="180">
        <f t="shared" si="73"/>
        <v>1.2528440735677109</v>
      </c>
      <c r="AL64" s="564">
        <f t="shared" si="74"/>
        <v>59</v>
      </c>
      <c r="AM64" s="473">
        <f t="shared" si="75"/>
        <v>350</v>
      </c>
      <c r="AO64">
        <f t="shared" si="47"/>
        <v>59</v>
      </c>
      <c r="AP64">
        <f t="shared" si="24"/>
        <v>350</v>
      </c>
      <c r="AR64" s="5">
        <f t="shared" si="48"/>
        <v>2.8571428571428572</v>
      </c>
      <c r="AS64" s="5">
        <f t="shared" si="25"/>
        <v>0.82806968593343933</v>
      </c>
      <c r="AT64" s="5">
        <f t="shared" si="49"/>
        <v>2.0290731712094177</v>
      </c>
      <c r="AU64" s="180">
        <f t="shared" si="50"/>
        <v>0.28982439007670374</v>
      </c>
      <c r="AW64" s="5">
        <f t="shared" si="76"/>
        <v>0.77549383285830031</v>
      </c>
      <c r="AX64" s="5">
        <f t="shared" si="77"/>
        <v>0.32570740980048613</v>
      </c>
      <c r="AY64" s="5">
        <f t="shared" si="28"/>
        <v>2.9097472906579488E-2</v>
      </c>
      <c r="AZ64" s="5"/>
      <c r="BA64" s="180">
        <f t="shared" si="51"/>
        <v>0.11231099540399865</v>
      </c>
      <c r="BB64" s="180">
        <f t="shared" si="78"/>
        <v>0.1039988720924732</v>
      </c>
      <c r="BC64" s="180">
        <f t="shared" si="79"/>
        <v>0.1063532571749726</v>
      </c>
      <c r="BD64" s="180"/>
      <c r="BE64" s="547">
        <f t="shared" si="31"/>
        <v>4.4148158910229515E-3</v>
      </c>
      <c r="BF64" s="547">
        <f t="shared" si="32"/>
        <v>4.6919933986235819E-2</v>
      </c>
      <c r="BG64" s="547">
        <f t="shared" si="33"/>
        <v>4.3749999999999995E-3</v>
      </c>
      <c r="BH64" s="547">
        <f t="shared" si="34"/>
        <v>2.7700251250000002E-2</v>
      </c>
      <c r="BI64">
        <f t="shared" si="35"/>
        <v>6.96E-3</v>
      </c>
      <c r="BJ64" s="473">
        <f t="shared" si="52"/>
        <v>90.37000112725876</v>
      </c>
      <c r="BK64" s="180">
        <f t="shared" si="80"/>
        <v>2.0649999999999998E-2</v>
      </c>
      <c r="BL64" s="180">
        <f t="shared" si="81"/>
        <v>2.0649999999999998E-2</v>
      </c>
      <c r="BM64" s="547"/>
      <c r="BO64" s="473">
        <f t="shared" si="53"/>
        <v>41.3</v>
      </c>
      <c r="BP64" s="547">
        <f t="shared" si="38"/>
        <v>1.3875135657500706E-3</v>
      </c>
      <c r="BQ64" s="547">
        <f t="shared" si="54"/>
        <v>3.7855178887773107E-4</v>
      </c>
      <c r="BR64" s="547">
        <f t="shared" si="82"/>
        <v>3.3933045935177579E-4</v>
      </c>
      <c r="BS64" s="547">
        <f t="shared" si="40"/>
        <v>8.993499427276154E-3</v>
      </c>
      <c r="BT64" s="657">
        <f t="shared" si="83"/>
        <v>4.5698181818181818E-2</v>
      </c>
      <c r="BU64" s="473">
        <f t="shared" si="55"/>
        <v>56.797077059437555</v>
      </c>
      <c r="BV64" s="180">
        <f t="shared" si="56"/>
        <v>0.18846707818669628</v>
      </c>
      <c r="BW64" s="5">
        <f t="shared" si="57"/>
        <v>1.2566999999999999</v>
      </c>
      <c r="BX64" s="180">
        <f t="shared" si="58"/>
        <v>0.86958803516118499</v>
      </c>
      <c r="BY64" s="5">
        <f t="shared" si="59"/>
        <v>86.958803516118493</v>
      </c>
      <c r="BZ64">
        <f t="shared" si="88"/>
        <v>59</v>
      </c>
      <c r="CB64" s="582">
        <f t="shared" si="84"/>
        <v>-50</v>
      </c>
      <c r="CC64">
        <f t="shared" si="85"/>
        <v>-50</v>
      </c>
    </row>
    <row r="65" spans="5:81" x14ac:dyDescent="0.25">
      <c r="E65" s="177">
        <v>60</v>
      </c>
      <c r="F65" s="224">
        <f t="shared" si="89"/>
        <v>0.06</v>
      </c>
      <c r="G65" s="224">
        <f t="shared" si="86"/>
        <v>0.06</v>
      </c>
      <c r="H65" s="224">
        <f t="shared" si="63"/>
        <v>0.378</v>
      </c>
      <c r="I65" s="224">
        <f t="shared" si="90"/>
        <v>0.89999999999999991</v>
      </c>
      <c r="J65" s="560">
        <f t="shared" si="1"/>
        <v>24</v>
      </c>
      <c r="K65" s="455">
        <f t="shared" si="2"/>
        <v>13.1</v>
      </c>
      <c r="L65" s="455">
        <f t="shared" si="3"/>
        <v>37.1</v>
      </c>
      <c r="M65" s="455"/>
      <c r="N65" s="224">
        <f t="shared" si="4"/>
        <v>0.35309973045822102</v>
      </c>
      <c r="O65" s="179">
        <f t="shared" si="87"/>
        <v>1.6354982726547966</v>
      </c>
      <c r="P65" s="179">
        <f t="shared" si="64"/>
        <v>3.8940435063209446</v>
      </c>
      <c r="Q65" s="224">
        <f t="shared" si="6"/>
        <v>0.25960290042139628</v>
      </c>
      <c r="R65" s="224">
        <f t="shared" si="65"/>
        <v>0.10903321817698644</v>
      </c>
      <c r="S65" s="455">
        <f t="shared" si="66"/>
        <v>6.3</v>
      </c>
      <c r="T65" s="224">
        <f t="shared" si="67"/>
        <v>0.33512722646310433</v>
      </c>
      <c r="U65" s="224">
        <f t="shared" si="10"/>
        <v>0.76799989397794743</v>
      </c>
      <c r="V65" s="224">
        <f t="shared" si="11"/>
        <v>1.4070227065244838</v>
      </c>
      <c r="W65" s="204">
        <f t="shared" si="12"/>
        <v>350</v>
      </c>
      <c r="X65" s="455">
        <f t="shared" si="46"/>
        <v>350</v>
      </c>
      <c r="Z65" s="224">
        <f t="shared" si="13"/>
        <v>0.44022823537648331</v>
      </c>
      <c r="AA65" s="180">
        <f t="shared" si="14"/>
        <v>1.8482864844050828</v>
      </c>
      <c r="AB65" s="180">
        <f t="shared" si="68"/>
        <v>8.4231817558083441E-2</v>
      </c>
      <c r="AC65" s="180"/>
      <c r="AD65" s="180">
        <f t="shared" si="16"/>
        <v>1.217557251908397</v>
      </c>
      <c r="AE65" s="564">
        <f t="shared" si="69"/>
        <v>574.5170406288122</v>
      </c>
      <c r="AF65" s="547">
        <f t="shared" si="70"/>
        <v>3.6552440597785188E-2</v>
      </c>
      <c r="AH65" s="180">
        <f t="shared" si="71"/>
        <v>0.36438883185303689</v>
      </c>
      <c r="AI65" s="180">
        <f t="shared" si="72"/>
        <v>0.36438883185303689</v>
      </c>
      <c r="AJ65" s="180">
        <f t="shared" si="73"/>
        <v>1.255102838409657</v>
      </c>
      <c r="AL65" s="564">
        <f t="shared" si="74"/>
        <v>60</v>
      </c>
      <c r="AM65" s="473">
        <f t="shared" si="75"/>
        <v>350</v>
      </c>
      <c r="AO65">
        <f t="shared" si="47"/>
        <v>60</v>
      </c>
      <c r="AP65">
        <f t="shared" si="24"/>
        <v>350</v>
      </c>
      <c r="AR65" s="5">
        <f t="shared" si="48"/>
        <v>2.8571428571428572</v>
      </c>
      <c r="AS65" s="5">
        <f t="shared" si="25"/>
        <v>0.83505773966320951</v>
      </c>
      <c r="AT65" s="5">
        <f t="shared" si="49"/>
        <v>2.0220851174796479</v>
      </c>
      <c r="AU65" s="180">
        <f t="shared" si="50"/>
        <v>0.29227020888212329</v>
      </c>
      <c r="AW65" s="5">
        <f t="shared" si="76"/>
        <v>0.79529308539353283</v>
      </c>
      <c r="AX65" s="5">
        <f t="shared" si="77"/>
        <v>0.33402309586528378</v>
      </c>
      <c r="AY65" s="5">
        <f t="shared" si="28"/>
        <v>2.9488741296578195E-2</v>
      </c>
      <c r="AZ65" s="5"/>
      <c r="BA65" s="180">
        <f t="shared" si="51"/>
        <v>0.11373567395844986</v>
      </c>
      <c r="BB65" s="180">
        <f t="shared" si="78"/>
        <v>0.10469576406554086</v>
      </c>
      <c r="BC65" s="180">
        <f t="shared" si="79"/>
        <v>0.10706592578131033</v>
      </c>
      <c r="BD65" s="180"/>
      <c r="BE65" s="547">
        <f t="shared" si="31"/>
        <v>4.5275312357739832E-3</v>
      </c>
      <c r="BF65" s="547">
        <f t="shared" si="32"/>
        <v>4.7315889816116841E-2</v>
      </c>
      <c r="BG65" s="547">
        <f t="shared" si="33"/>
        <v>4.3749999999999995E-3</v>
      </c>
      <c r="BH65" s="547">
        <f t="shared" si="34"/>
        <v>2.7700251250000002E-2</v>
      </c>
      <c r="BI65">
        <f t="shared" si="35"/>
        <v>6.96E-3</v>
      </c>
      <c r="BJ65" s="473">
        <f t="shared" si="52"/>
        <v>90.878672301890816</v>
      </c>
      <c r="BK65" s="180">
        <f t="shared" si="80"/>
        <v>2.0999999999999998E-2</v>
      </c>
      <c r="BL65" s="180">
        <f t="shared" si="81"/>
        <v>2.0999999999999998E-2</v>
      </c>
      <c r="BM65" s="547"/>
      <c r="BO65" s="473">
        <f t="shared" si="53"/>
        <v>41.999999999999993</v>
      </c>
      <c r="BP65" s="547">
        <f t="shared" si="38"/>
        <v>1.422938388386109E-3</v>
      </c>
      <c r="BQ65" s="547">
        <f t="shared" si="54"/>
        <v>3.8364210546435894E-4</v>
      </c>
      <c r="BR65" s="547">
        <f t="shared" si="82"/>
        <v>3.4389337390227151E-4</v>
      </c>
      <c r="BS65" s="547">
        <f t="shared" si="40"/>
        <v>9.1844416583622066E-3</v>
      </c>
      <c r="BT65" s="657">
        <f t="shared" si="83"/>
        <v>4.6472727272727291E-2</v>
      </c>
      <c r="BU65" s="473">
        <f t="shared" si="55"/>
        <v>57.807642798842238</v>
      </c>
      <c r="BV65" s="180">
        <f t="shared" si="56"/>
        <v>0.19068631510073303</v>
      </c>
      <c r="BW65" s="5">
        <f t="shared" si="57"/>
        <v>1.278</v>
      </c>
      <c r="BX65" s="180">
        <f t="shared" si="58"/>
        <v>0.87016538988609404</v>
      </c>
      <c r="BY65" s="5">
        <f t="shared" si="59"/>
        <v>87.016538988609398</v>
      </c>
      <c r="BZ65">
        <f t="shared" si="88"/>
        <v>60</v>
      </c>
      <c r="CB65" s="582">
        <f t="shared" si="84"/>
        <v>-50</v>
      </c>
      <c r="CC65">
        <f t="shared" si="85"/>
        <v>-50</v>
      </c>
    </row>
    <row r="66" spans="5:81" x14ac:dyDescent="0.25">
      <c r="E66" s="177">
        <v>61</v>
      </c>
      <c r="F66" s="224">
        <f t="shared" si="89"/>
        <v>6.0999999999999999E-2</v>
      </c>
      <c r="G66" s="224">
        <f t="shared" si="86"/>
        <v>6.0999999999999999E-2</v>
      </c>
      <c r="H66" s="224">
        <f t="shared" si="63"/>
        <v>0.38429999999999997</v>
      </c>
      <c r="I66" s="224">
        <f t="shared" si="90"/>
        <v>0.91500000000000004</v>
      </c>
      <c r="J66" s="560">
        <f t="shared" si="1"/>
        <v>24</v>
      </c>
      <c r="K66" s="455">
        <f t="shared" si="2"/>
        <v>13.1</v>
      </c>
      <c r="L66" s="455">
        <f t="shared" si="3"/>
        <v>37.1</v>
      </c>
      <c r="M66" s="455"/>
      <c r="N66" s="224">
        <f t="shared" si="4"/>
        <v>0.35309973045822102</v>
      </c>
      <c r="O66" s="179">
        <f t="shared" si="87"/>
        <v>1.6354982726547966</v>
      </c>
      <c r="P66" s="179">
        <f t="shared" si="64"/>
        <v>3.8940435063209446</v>
      </c>
      <c r="Q66" s="224">
        <f t="shared" si="6"/>
        <v>0.25960290042139628</v>
      </c>
      <c r="R66" s="224">
        <f t="shared" si="65"/>
        <v>0.10903321817698644</v>
      </c>
      <c r="S66" s="455">
        <f t="shared" si="66"/>
        <v>6.3</v>
      </c>
      <c r="T66" s="224">
        <f t="shared" si="67"/>
        <v>0.34071268023748941</v>
      </c>
      <c r="U66" s="224">
        <f t="shared" si="10"/>
        <v>0.78079989221091328</v>
      </c>
      <c r="V66" s="224">
        <f t="shared" si="11"/>
        <v>1.4304730849665588</v>
      </c>
      <c r="W66" s="204">
        <f t="shared" si="12"/>
        <v>350</v>
      </c>
      <c r="X66" s="455">
        <f t="shared" si="46"/>
        <v>350</v>
      </c>
      <c r="Z66" s="224">
        <f t="shared" si="13"/>
        <v>0.44022823537648331</v>
      </c>
      <c r="AA66" s="180">
        <f t="shared" si="14"/>
        <v>1.8482864844050828</v>
      </c>
      <c r="AB66" s="180">
        <f t="shared" si="68"/>
        <v>8.4231817558083441E-2</v>
      </c>
      <c r="AC66" s="180"/>
      <c r="AD66" s="180">
        <f t="shared" si="16"/>
        <v>1.217557251908397</v>
      </c>
      <c r="AE66" s="564">
        <f t="shared" si="69"/>
        <v>584.09232463929231</v>
      </c>
      <c r="AF66" s="547">
        <f t="shared" si="70"/>
        <v>3.6552440597785188E-2</v>
      </c>
      <c r="AH66" s="180">
        <f t="shared" si="71"/>
        <v>0.3674128574127582</v>
      </c>
      <c r="AI66" s="180">
        <f t="shared" si="72"/>
        <v>0.3674128574127582</v>
      </c>
      <c r="AJ66" s="180">
        <f t="shared" si="73"/>
        <v>1.2573428573427838</v>
      </c>
      <c r="AL66" s="564">
        <f t="shared" si="74"/>
        <v>61</v>
      </c>
      <c r="AM66" s="473">
        <f t="shared" si="75"/>
        <v>350</v>
      </c>
      <c r="AO66">
        <f t="shared" si="47"/>
        <v>61</v>
      </c>
      <c r="AP66">
        <f t="shared" si="24"/>
        <v>350</v>
      </c>
      <c r="AR66" s="5">
        <f t="shared" si="48"/>
        <v>2.8571428571428572</v>
      </c>
      <c r="AS66" s="5">
        <f t="shared" si="25"/>
        <v>0.84198779823757086</v>
      </c>
      <c r="AT66" s="5">
        <f t="shared" si="49"/>
        <v>2.0151550589052865</v>
      </c>
      <c r="AU66" s="180">
        <f t="shared" si="50"/>
        <v>0.29469572938314981</v>
      </c>
      <c r="AW66" s="5">
        <f t="shared" si="76"/>
        <v>0.81525802686494953</v>
      </c>
      <c r="AX66" s="5">
        <f t="shared" si="77"/>
        <v>0.34240837128327878</v>
      </c>
      <c r="AY66" s="5">
        <f t="shared" si="28"/>
        <v>2.9877472574741562E-2</v>
      </c>
      <c r="AZ66" s="5"/>
      <c r="BA66" s="180">
        <f t="shared" si="51"/>
        <v>0.11515442839417336</v>
      </c>
      <c r="BB66" s="180">
        <f t="shared" si="78"/>
        <v>0.10538357350694263</v>
      </c>
      <c r="BC66" s="180">
        <f t="shared" si="79"/>
        <v>0.10776930624051122</v>
      </c>
      <c r="BD66" s="180"/>
      <c r="BE66" s="547">
        <f t="shared" si="31"/>
        <v>4.6411898325760797E-3</v>
      </c>
      <c r="BF66" s="547">
        <f t="shared" si="32"/>
        <v>4.7708559535046657E-2</v>
      </c>
      <c r="BG66" s="547">
        <f t="shared" si="33"/>
        <v>4.3749999999999995E-3</v>
      </c>
      <c r="BH66" s="547">
        <f t="shared" si="34"/>
        <v>2.7700251250000002E-2</v>
      </c>
      <c r="BI66">
        <f t="shared" si="35"/>
        <v>6.96E-3</v>
      </c>
      <c r="BJ66" s="473">
        <f t="shared" si="52"/>
        <v>91.385000617622723</v>
      </c>
      <c r="BK66" s="180">
        <f t="shared" si="80"/>
        <v>2.1349999999999997E-2</v>
      </c>
      <c r="BL66" s="180">
        <f t="shared" si="81"/>
        <v>2.1349999999999997E-2</v>
      </c>
      <c r="BM66" s="547"/>
      <c r="BO66" s="473">
        <f t="shared" si="53"/>
        <v>42.699999999999996</v>
      </c>
      <c r="BP66" s="547">
        <f t="shared" si="38"/>
        <v>1.4586596616667682E-3</v>
      </c>
      <c r="BQ66" s="547">
        <f t="shared" si="54"/>
        <v>3.8869941477826138E-4</v>
      </c>
      <c r="BR66" s="547">
        <f t="shared" si="82"/>
        <v>3.4842670102683271E-4</v>
      </c>
      <c r="BS66" s="547">
        <f t="shared" si="40"/>
        <v>9.3761811742335138E-3</v>
      </c>
      <c r="BT66" s="657">
        <f t="shared" si="83"/>
        <v>4.7247272727272728E-2</v>
      </c>
      <c r="BU66" s="473">
        <f t="shared" si="55"/>
        <v>58.819239678978107</v>
      </c>
      <c r="BV66" s="180">
        <f t="shared" si="56"/>
        <v>0.19290424029660083</v>
      </c>
      <c r="BW66" s="5">
        <f t="shared" si="57"/>
        <v>1.2993000000000001</v>
      </c>
      <c r="BX66" s="180">
        <f t="shared" si="58"/>
        <v>0.87072531019060917</v>
      </c>
      <c r="BY66" s="5">
        <f t="shared" si="59"/>
        <v>87.072531019060918</v>
      </c>
      <c r="BZ66">
        <f t="shared" si="88"/>
        <v>61</v>
      </c>
      <c r="CB66" s="582">
        <f t="shared" si="84"/>
        <v>-50</v>
      </c>
      <c r="CC66">
        <f t="shared" si="85"/>
        <v>-50</v>
      </c>
    </row>
    <row r="67" spans="5:81" x14ac:dyDescent="0.25">
      <c r="E67" s="177">
        <v>62</v>
      </c>
      <c r="F67" s="224">
        <f t="shared" si="89"/>
        <v>6.2E-2</v>
      </c>
      <c r="G67" s="224">
        <f t="shared" si="86"/>
        <v>6.2E-2</v>
      </c>
      <c r="H67" s="224">
        <f t="shared" si="63"/>
        <v>0.3906</v>
      </c>
      <c r="I67" s="224">
        <f t="shared" si="90"/>
        <v>0.92999999999999994</v>
      </c>
      <c r="J67" s="560">
        <f t="shared" si="1"/>
        <v>24</v>
      </c>
      <c r="K67" s="455">
        <f t="shared" si="2"/>
        <v>13.1</v>
      </c>
      <c r="L67" s="455">
        <f t="shared" si="3"/>
        <v>37.1</v>
      </c>
      <c r="M67" s="455"/>
      <c r="N67" s="224">
        <f t="shared" si="4"/>
        <v>0.35309973045822102</v>
      </c>
      <c r="O67" s="179">
        <f t="shared" si="87"/>
        <v>1.6354982726547966</v>
      </c>
      <c r="P67" s="179">
        <f t="shared" si="64"/>
        <v>3.8940435063209446</v>
      </c>
      <c r="Q67" s="224">
        <f t="shared" si="6"/>
        <v>0.25960290042139628</v>
      </c>
      <c r="R67" s="224">
        <f t="shared" si="65"/>
        <v>0.10903321817698644</v>
      </c>
      <c r="S67" s="455">
        <f t="shared" si="66"/>
        <v>6.3</v>
      </c>
      <c r="T67" s="224">
        <f t="shared" si="67"/>
        <v>0.34629813401187448</v>
      </c>
      <c r="U67" s="224">
        <f t="shared" si="10"/>
        <v>0.79359989044387902</v>
      </c>
      <c r="V67" s="224">
        <f t="shared" si="11"/>
        <v>1.4539234634086333</v>
      </c>
      <c r="W67" s="204">
        <f t="shared" si="12"/>
        <v>350</v>
      </c>
      <c r="X67" s="455">
        <f t="shared" si="46"/>
        <v>350</v>
      </c>
      <c r="Z67" s="224">
        <f t="shared" si="13"/>
        <v>0.44022823537648331</v>
      </c>
      <c r="AA67" s="180">
        <f t="shared" si="14"/>
        <v>1.8482864844050828</v>
      </c>
      <c r="AB67" s="180">
        <f t="shared" si="68"/>
        <v>8.4231817558083441E-2</v>
      </c>
      <c r="AC67" s="180"/>
      <c r="AD67" s="180">
        <f t="shared" si="16"/>
        <v>1.217557251908397</v>
      </c>
      <c r="AE67" s="564">
        <f t="shared" si="69"/>
        <v>593.66760864977266</v>
      </c>
      <c r="AF67" s="547">
        <f t="shared" si="70"/>
        <v>3.6552440597785188E-2</v>
      </c>
      <c r="AH67" s="180">
        <f t="shared" si="71"/>
        <v>0.37041219581055213</v>
      </c>
      <c r="AI67" s="180">
        <f t="shared" si="72"/>
        <v>0.37041219581055213</v>
      </c>
      <c r="AJ67" s="180">
        <f t="shared" si="73"/>
        <v>1.2595645894892979</v>
      </c>
      <c r="AL67" s="564">
        <f t="shared" si="74"/>
        <v>62</v>
      </c>
      <c r="AM67" s="473">
        <f t="shared" si="75"/>
        <v>350</v>
      </c>
      <c r="AO67">
        <f t="shared" si="47"/>
        <v>62</v>
      </c>
      <c r="AP67">
        <f t="shared" si="24"/>
        <v>350</v>
      </c>
      <c r="AR67" s="5">
        <f t="shared" si="48"/>
        <v>2.8571428571428572</v>
      </c>
      <c r="AS67" s="5">
        <f t="shared" si="25"/>
        <v>0.84886128206584865</v>
      </c>
      <c r="AT67" s="5">
        <f t="shared" si="49"/>
        <v>2.0082815750770084</v>
      </c>
      <c r="AU67" s="180">
        <f t="shared" si="50"/>
        <v>0.297101448723047</v>
      </c>
      <c r="AW67" s="5">
        <f t="shared" si="76"/>
        <v>0.83538729346162888</v>
      </c>
      <c r="AX67" s="5">
        <f t="shared" si="77"/>
        <v>0.3508626632538841</v>
      </c>
      <c r="AY67" s="5">
        <f t="shared" si="28"/>
        <v>3.026368762442436E-2</v>
      </c>
      <c r="AZ67" s="5"/>
      <c r="BA67" s="180">
        <f t="shared" si="51"/>
        <v>0.11656737986954335</v>
      </c>
      <c r="BB67" s="180">
        <f t="shared" si="78"/>
        <v>0.10606251371005394</v>
      </c>
      <c r="BC67" s="180">
        <f t="shared" si="79"/>
        <v>0.10846361667460629</v>
      </c>
      <c r="BD67" s="180"/>
      <c r="BE67" s="547">
        <f t="shared" si="31"/>
        <v>4.7557839173776465E-3</v>
      </c>
      <c r="BF67" s="547">
        <f t="shared" si="32"/>
        <v>4.8098023626000193E-2</v>
      </c>
      <c r="BG67" s="547">
        <f t="shared" si="33"/>
        <v>4.3749999999999995E-3</v>
      </c>
      <c r="BH67" s="547">
        <f t="shared" si="34"/>
        <v>2.7700251250000002E-2</v>
      </c>
      <c r="BI67">
        <f t="shared" si="35"/>
        <v>6.96E-3</v>
      </c>
      <c r="BJ67" s="473">
        <f t="shared" si="52"/>
        <v>91.889058793377828</v>
      </c>
      <c r="BK67" s="180">
        <f t="shared" si="80"/>
        <v>2.1699999999999997E-2</v>
      </c>
      <c r="BL67" s="180">
        <f t="shared" si="81"/>
        <v>2.1699999999999997E-2</v>
      </c>
      <c r="BM67" s="547"/>
      <c r="BO67" s="473">
        <f t="shared" si="53"/>
        <v>43.399999999999991</v>
      </c>
      <c r="BP67" s="547">
        <f t="shared" si="38"/>
        <v>1.4946749454615462E-3</v>
      </c>
      <c r="BQ67" s="547">
        <f t="shared" si="54"/>
        <v>3.9372398850733833E-4</v>
      </c>
      <c r="BR67" s="547">
        <f t="shared" si="82"/>
        <v>3.5293068426407796E-4</v>
      </c>
      <c r="BS67" s="547">
        <f t="shared" si="40"/>
        <v>9.5687081512042423E-3</v>
      </c>
      <c r="BT67" s="657">
        <f t="shared" si="83"/>
        <v>4.8021818181818186E-2</v>
      </c>
      <c r="BU67" s="473">
        <f t="shared" si="55"/>
        <v>59.831855951255392</v>
      </c>
      <c r="BV67" s="180">
        <f t="shared" si="56"/>
        <v>0.19512091474463325</v>
      </c>
      <c r="BW67" s="5">
        <f t="shared" si="57"/>
        <v>1.3206</v>
      </c>
      <c r="BX67" s="180">
        <f t="shared" si="58"/>
        <v>0.87126857401878166</v>
      </c>
      <c r="BY67" s="5">
        <f t="shared" si="59"/>
        <v>87.126857401878169</v>
      </c>
      <c r="BZ67">
        <f t="shared" si="88"/>
        <v>62</v>
      </c>
      <c r="CB67" s="582">
        <f t="shared" si="84"/>
        <v>-50</v>
      </c>
      <c r="CC67">
        <f t="shared" si="85"/>
        <v>-50</v>
      </c>
    </row>
    <row r="68" spans="5:81" x14ac:dyDescent="0.25">
      <c r="E68" s="177">
        <v>63</v>
      </c>
      <c r="F68" s="224">
        <f t="shared" si="89"/>
        <v>6.3E-2</v>
      </c>
      <c r="G68" s="224">
        <f t="shared" si="86"/>
        <v>6.3E-2</v>
      </c>
      <c r="H68" s="224">
        <f t="shared" si="63"/>
        <v>0.39689999999999998</v>
      </c>
      <c r="I68" s="224">
        <f t="shared" si="90"/>
        <v>0.94500000000000006</v>
      </c>
      <c r="J68" s="560">
        <f t="shared" si="1"/>
        <v>24</v>
      </c>
      <c r="K68" s="455">
        <f t="shared" si="2"/>
        <v>13.1</v>
      </c>
      <c r="L68" s="455">
        <f t="shared" si="3"/>
        <v>37.1</v>
      </c>
      <c r="M68" s="455"/>
      <c r="N68" s="224">
        <f t="shared" si="4"/>
        <v>0.35309973045822102</v>
      </c>
      <c r="O68" s="179">
        <f t="shared" si="87"/>
        <v>1.6354982726547966</v>
      </c>
      <c r="P68" s="179">
        <f t="shared" si="64"/>
        <v>3.8940435063209446</v>
      </c>
      <c r="Q68" s="224">
        <f t="shared" si="6"/>
        <v>0.25960290042139628</v>
      </c>
      <c r="R68" s="224">
        <f t="shared" si="65"/>
        <v>0.10903321817698644</v>
      </c>
      <c r="S68" s="455">
        <f t="shared" si="66"/>
        <v>6.3</v>
      </c>
      <c r="T68" s="224">
        <f t="shared" si="67"/>
        <v>0.35188358778625956</v>
      </c>
      <c r="U68" s="224">
        <f t="shared" si="10"/>
        <v>0.80639988867684487</v>
      </c>
      <c r="V68" s="224">
        <f t="shared" si="11"/>
        <v>1.4773738418507081</v>
      </c>
      <c r="W68" s="204">
        <f t="shared" si="12"/>
        <v>350</v>
      </c>
      <c r="X68" s="455">
        <f t="shared" si="46"/>
        <v>350</v>
      </c>
      <c r="Z68" s="224">
        <f t="shared" si="13"/>
        <v>0.44022823537648331</v>
      </c>
      <c r="AA68" s="180">
        <f t="shared" si="14"/>
        <v>1.8482864844050828</v>
      </c>
      <c r="AB68" s="180">
        <f t="shared" si="68"/>
        <v>8.4231817558083441E-2</v>
      </c>
      <c r="AC68" s="180"/>
      <c r="AD68" s="180">
        <f t="shared" si="16"/>
        <v>1.217557251908397</v>
      </c>
      <c r="AE68" s="564">
        <f t="shared" si="69"/>
        <v>603.24289266025289</v>
      </c>
      <c r="AF68" s="547">
        <f t="shared" si="70"/>
        <v>3.6552440597785188E-2</v>
      </c>
      <c r="AH68" s="180">
        <f t="shared" si="71"/>
        <v>0.37338744196635998</v>
      </c>
      <c r="AI68" s="180">
        <f t="shared" si="72"/>
        <v>0.37338744196635998</v>
      </c>
      <c r="AJ68" s="180">
        <f t="shared" si="73"/>
        <v>1.2617684755306371</v>
      </c>
      <c r="AL68" s="564">
        <f t="shared" si="74"/>
        <v>63</v>
      </c>
      <c r="AM68" s="473">
        <f t="shared" si="75"/>
        <v>350</v>
      </c>
      <c r="AO68">
        <f t="shared" si="47"/>
        <v>63</v>
      </c>
      <c r="AP68">
        <f t="shared" si="24"/>
        <v>350</v>
      </c>
      <c r="AR68" s="5">
        <f t="shared" si="48"/>
        <v>2.8571428571428572</v>
      </c>
      <c r="AS68" s="5">
        <f t="shared" si="25"/>
        <v>0.85567955450624167</v>
      </c>
      <c r="AT68" s="5">
        <f t="shared" si="49"/>
        <v>2.0014633026366155</v>
      </c>
      <c r="AU68" s="180">
        <f t="shared" si="50"/>
        <v>0.2994878440771846</v>
      </c>
      <c r="AW68" s="5">
        <f t="shared" si="76"/>
        <v>0.85567955450624178</v>
      </c>
      <c r="AX68" s="5">
        <f t="shared" si="77"/>
        <v>0.35938541289262149</v>
      </c>
      <c r="AY68" s="5">
        <f t="shared" si="28"/>
        <v>3.0647406821623167E-2</v>
      </c>
      <c r="AZ68" s="5"/>
      <c r="BA68" s="180">
        <f t="shared" si="51"/>
        <v>0.11797464515435541</v>
      </c>
      <c r="BB68" s="180">
        <f t="shared" si="78"/>
        <v>0.10673278941073489</v>
      </c>
      <c r="BC68" s="180">
        <f t="shared" si="79"/>
        <v>0.10914906645438152</v>
      </c>
      <c r="BD68" s="180"/>
      <c r="BE68" s="547">
        <f t="shared" si="31"/>
        <v>4.8713059147536255E-3</v>
      </c>
      <c r="BF68" s="547">
        <f t="shared" si="32"/>
        <v>4.8484359339331852E-2</v>
      </c>
      <c r="BG68" s="547">
        <f t="shared" si="33"/>
        <v>4.3749999999999995E-3</v>
      </c>
      <c r="BH68" s="547">
        <f t="shared" si="34"/>
        <v>2.7700251250000002E-2</v>
      </c>
      <c r="BI68">
        <f t="shared" si="35"/>
        <v>6.96E-3</v>
      </c>
      <c r="BJ68" s="473">
        <f t="shared" si="52"/>
        <v>92.390916504085467</v>
      </c>
      <c r="BK68" s="180">
        <f t="shared" si="80"/>
        <v>2.205E-2</v>
      </c>
      <c r="BL68" s="180">
        <f t="shared" si="81"/>
        <v>2.205E-2</v>
      </c>
      <c r="BM68" s="547"/>
      <c r="BO68" s="473">
        <f t="shared" si="53"/>
        <v>44.1</v>
      </c>
      <c r="BP68" s="547">
        <f t="shared" si="38"/>
        <v>1.5309818589225681E-3</v>
      </c>
      <c r="BQ68" s="547">
        <f t="shared" si="54"/>
        <v>3.9871609173886989E-4</v>
      </c>
      <c r="BR68" s="547">
        <f t="shared" si="82"/>
        <v>3.5740556123588978E-4</v>
      </c>
      <c r="BS68" s="547">
        <f t="shared" si="40"/>
        <v>9.7620130434681353E-3</v>
      </c>
      <c r="BT68" s="657">
        <f t="shared" si="83"/>
        <v>4.8796363636363645E-2</v>
      </c>
      <c r="BU68" s="473">
        <f t="shared" si="55"/>
        <v>60.845480191729109</v>
      </c>
      <c r="BV68" s="180">
        <f t="shared" si="56"/>
        <v>0.19733639669581454</v>
      </c>
      <c r="BW68" s="5">
        <f t="shared" si="57"/>
        <v>1.3419000000000001</v>
      </c>
      <c r="BX68" s="180">
        <f t="shared" si="58"/>
        <v>0.8717959131427605</v>
      </c>
      <c r="BY68" s="5">
        <f t="shared" si="59"/>
        <v>87.179591314276053</v>
      </c>
      <c r="BZ68">
        <f t="shared" si="88"/>
        <v>63</v>
      </c>
      <c r="CB68" s="582">
        <f t="shared" si="84"/>
        <v>-50</v>
      </c>
      <c r="CC68">
        <f t="shared" si="85"/>
        <v>-50</v>
      </c>
    </row>
    <row r="69" spans="5:81" x14ac:dyDescent="0.25">
      <c r="E69" s="177">
        <v>64</v>
      </c>
      <c r="F69" s="224">
        <f t="shared" si="89"/>
        <v>6.4000000000000001E-2</v>
      </c>
      <c r="G69" s="224">
        <f t="shared" si="86"/>
        <v>6.4000000000000001E-2</v>
      </c>
      <c r="H69" s="224">
        <f t="shared" ref="H69:H105" si="91">F69*Vout</f>
        <v>0.4032</v>
      </c>
      <c r="I69" s="224">
        <f t="shared" si="90"/>
        <v>0.96</v>
      </c>
      <c r="J69" s="560">
        <f t="shared" ref="J69:J105" si="92">Vin</f>
        <v>24</v>
      </c>
      <c r="K69" s="455">
        <f t="shared" ref="K69:K105" si="93">(S69+Vfwd1)*Nps</f>
        <v>13.1</v>
      </c>
      <c r="L69" s="455">
        <f t="shared" ref="L69:L105" si="94">(Vout+Vfwd1)*Nps+J69</f>
        <v>37.1</v>
      </c>
      <c r="M69" s="455"/>
      <c r="N69" s="224">
        <f t="shared" ref="N69:N105" si="95">(Vout+Vfwd1)*Nps/((Vout+Vfwd1)*Nps+J69)</f>
        <v>0.35309973045822102</v>
      </c>
      <c r="O69" s="179">
        <f t="shared" si="87"/>
        <v>1.6354982726547966</v>
      </c>
      <c r="P69" s="179">
        <f t="shared" ref="P69:P105" si="96">N69*J69*Isw_max*0.5*Efficiency*(Pout2/Pout_total)</f>
        <v>3.8940435063209446</v>
      </c>
      <c r="Q69" s="224">
        <f t="shared" ref="Q69:Q105" si="97">O69/Vout</f>
        <v>0.25960290042139628</v>
      </c>
      <c r="R69" s="224">
        <f t="shared" ref="R69:R105" si="98">O69/Vout2</f>
        <v>0.10903321817698644</v>
      </c>
      <c r="S69" s="455">
        <f t="shared" ref="S69:S105" si="99">MIN(Vout,O69/F69)</f>
        <v>6.3</v>
      </c>
      <c r="T69" s="224">
        <f t="shared" ref="T69:T105" si="100">MIN(2*(Vout*F69+Vout2*G69)/(Efficiency*J69*N69), Isw_max)</f>
        <v>0.35746904156064457</v>
      </c>
      <c r="U69" s="224">
        <f t="shared" ref="U69:U105" si="101">L*T69/J69*1000000</f>
        <v>0.81919988690981038</v>
      </c>
      <c r="V69" s="224">
        <f t="shared" ref="V69:V105" si="102">L*T69/K69*1000000</f>
        <v>1.5008242202927826</v>
      </c>
      <c r="W69" s="204">
        <f t="shared" ref="W69:W105" si="103">IF(1/((350000*L)*(1/J69+1/K69))&gt;Isw_min, 350, 0.001/((Isw_min*L)*(1/J69+1/K69)))</f>
        <v>350</v>
      </c>
      <c r="X69" s="455">
        <f t="shared" si="46"/>
        <v>350</v>
      </c>
      <c r="Z69" s="224">
        <f t="shared" ref="Z69:Z105" si="104">1/((W69*1000*L)*(1/J69+1/K69))</f>
        <v>0.44022823537648331</v>
      </c>
      <c r="AA69" s="180">
        <f t="shared" ref="AA69:AA105" si="105">L*Z69/K69*1000000</f>
        <v>1.8482864844050828</v>
      </c>
      <c r="AB69" s="180">
        <f t="shared" ref="AB69:AB100" si="106">0.5*AA69*Z69*Nps*W69/1000*(Pout/Pout_total)</f>
        <v>8.4231817558083441E-2</v>
      </c>
      <c r="AC69" s="180"/>
      <c r="AD69" s="180">
        <f t="shared" ref="AD69:AD105" si="107">L*Isw_min/K69*1000000</f>
        <v>1.217557251908397</v>
      </c>
      <c r="AE69" s="564">
        <f t="shared" ref="AE69:AE100" si="108">MAX(10, F69/(0.5*AD69/1000000*Isw_min*Nps)/1000*Pout_total/Pout)</f>
        <v>612.81817667073301</v>
      </c>
      <c r="AF69" s="547">
        <f t="shared" ref="AF69:AF105" si="109">0.5*AD69/1000000*Isw_min*Nps*W69*1000*(Pout/Pout_total)</f>
        <v>3.6552440597785188E-2</v>
      </c>
      <c r="AH69" s="180">
        <f t="shared" ref="AH69:AH105" si="110">SQRT((H69+I69)/(0.5*L*Fsw_DCM))</f>
        <v>0.37633916728287642</v>
      </c>
      <c r="AI69" s="180">
        <f t="shared" ref="AI69:AI100" si="111">MAX(IF(F69&gt;AB69,T69,AH69),Isw_min)</f>
        <v>0.37633916728287642</v>
      </c>
      <c r="AJ69" s="180">
        <f t="shared" ref="AJ69:AJ100" si="112">IF(F69&gt;AF69, (AI69-Isw_min)/1.08*0.8+1.2, AE69*0.2/350+1)</f>
        <v>1.2639549387280566</v>
      </c>
      <c r="AL69" s="564">
        <f t="shared" ref="AL69:AL105" si="113">F69*1000</f>
        <v>64</v>
      </c>
      <c r="AM69" s="473">
        <f t="shared" ref="AM69:AM105" si="114">IF(F69&gt;AF69, X69, AE69)</f>
        <v>350</v>
      </c>
      <c r="AO69">
        <f t="shared" si="47"/>
        <v>64</v>
      </c>
      <c r="AP69">
        <f t="shared" ref="AP69:AP105" si="115">IF(H69&gt;O69, "",AM69)</f>
        <v>350</v>
      </c>
      <c r="AR69" s="5">
        <f t="shared" si="48"/>
        <v>2.8571428571428572</v>
      </c>
      <c r="AS69" s="5">
        <f t="shared" ref="AS69:AS105" si="116">L*AI69/J69*1000000</f>
        <v>0.86244392502325851</v>
      </c>
      <c r="AT69" s="5">
        <f t="shared" si="49"/>
        <v>1.9946989321195987</v>
      </c>
      <c r="AU69" s="180">
        <f t="shared" si="50"/>
        <v>0.30185537375814048</v>
      </c>
      <c r="AW69" s="5">
        <f t="shared" ref="AW69:AW105" si="117">F69*AS69/Vout_ripple*1000</f>
        <v>0.87613351113473892</v>
      </c>
      <c r="AX69" s="5">
        <f t="shared" ref="AX69:AX105" si="118">G69*AS69/Vout_ripple2*1000</f>
        <v>0.36797607467659033</v>
      </c>
      <c r="AY69" s="5">
        <f t="shared" ref="AY69:AY105" si="119">H69/Efficiency/J69*AT69/Vinripple1</f>
        <v>3.1028650055193754E-2</v>
      </c>
      <c r="AZ69" s="5"/>
      <c r="BA69" s="180">
        <f t="shared" si="51"/>
        <v>0.11937633685580902</v>
      </c>
      <c r="BB69" s="180">
        <f t="shared" ref="BB69:BB105" si="120">AI69*Npri_sec1*SQRT((1-AU69)/3)*(Pout/Pout_total)</f>
        <v>0.10739459726002984</v>
      </c>
      <c r="BC69" s="180">
        <f t="shared" ref="BC69:BC105" si="121">AI69*Npri_sec2*SQRT((1-AU69)/3)*(Pout2/Pout_total)</f>
        <v>0.10982585668277837</v>
      </c>
      <c r="BD69" s="180"/>
      <c r="BE69" s="547">
        <f t="shared" ref="BE69:BE105" si="122">Rdson*BA69^2</f>
        <v>4.9877484303890553E-3</v>
      </c>
      <c r="BF69" s="547">
        <f t="shared" ref="BF69:BF105" si="123">0.5*L69*AI69*AM69*1000*Trise</f>
        <v>4.8867640871681509E-2</v>
      </c>
      <c r="BG69" s="547">
        <f t="shared" ref="BG69:BG105" si="124">Qg*Vdd*AM69*1000</f>
        <v>4.3749999999999995E-3</v>
      </c>
      <c r="BH69" s="547">
        <f t="shared" ref="BH69:BH105" si="125">0.5*(Coss+Csw)*L69^2*AM69*1000</f>
        <v>2.7700251250000002E-2</v>
      </c>
      <c r="BI69">
        <f t="shared" ref="BI69:BI105" si="126">J69*IQ</f>
        <v>6.96E-3</v>
      </c>
      <c r="BJ69" s="473">
        <f t="shared" si="52"/>
        <v>92.89064055207055</v>
      </c>
      <c r="BK69" s="180">
        <f t="shared" ref="BK69:BK105" si="127">Vfwd2*F69</f>
        <v>2.24E-2</v>
      </c>
      <c r="BL69" s="180">
        <f t="shared" ref="BL69:BL105" si="128">Vfwd2*G69</f>
        <v>2.24E-2</v>
      </c>
      <c r="BM69" s="547"/>
      <c r="BO69" s="473">
        <f t="shared" si="53"/>
        <v>44.8</v>
      </c>
      <c r="BP69" s="547">
        <f t="shared" ref="BP69:BP105" si="129">Rdcr_pri*BA69^2</f>
        <v>1.5675780781222745E-3</v>
      </c>
      <c r="BQ69" s="547">
        <f t="shared" ref="BQ69:BQ105" si="130">Rdcr_sec*BB69^2</f>
        <v>4.0367598322254037E-4</v>
      </c>
      <c r="BR69" s="547">
        <f t="shared" ref="BR69:BR105" si="131">Rdcr_sec2*BC69^2</f>
        <v>3.6185156388318521E-4</v>
      </c>
      <c r="BS69" s="547">
        <f t="shared" ref="BS69:BS105" si="132">AI69^2.5*AM69^2.5*k_core</f>
        <v>9.9560865709425374E-3</v>
      </c>
      <c r="BT69" s="657">
        <f t="shared" ref="BT69:BT105" si="133">0.5*Lleak*0.000000001*AI69^2*AM69*1000</f>
        <v>4.9570909090909103E-2</v>
      </c>
      <c r="BU69" s="473">
        <f t="shared" si="55"/>
        <v>61.860101287079637</v>
      </c>
      <c r="BV69" s="180">
        <f t="shared" si="56"/>
        <v>0.19955074183915023</v>
      </c>
      <c r="BW69" s="5">
        <f t="shared" si="57"/>
        <v>1.3632</v>
      </c>
      <c r="BX69" s="180">
        <f t="shared" si="58"/>
        <v>0.87230801656551737</v>
      </c>
      <c r="BY69" s="5">
        <f t="shared" si="59"/>
        <v>87.230801656551733</v>
      </c>
      <c r="BZ69">
        <f t="shared" si="88"/>
        <v>64</v>
      </c>
      <c r="CB69" s="582">
        <f t="shared" ref="CB69:CB105" si="134">IF(ABS(F69-Ioutmax_Vinnom)&lt;Iout/200, AM69, -50)</f>
        <v>-50</v>
      </c>
      <c r="CC69">
        <f t="shared" ref="CC69:CC105" si="135">IF(ABS(F69-Ioutmax_Vinnom)&lt;Iout/200, (O69+P69)*BX69, -50)</f>
        <v>-50</v>
      </c>
    </row>
    <row r="70" spans="5:81" x14ac:dyDescent="0.25">
      <c r="E70" s="177">
        <v>65</v>
      </c>
      <c r="F70" s="224">
        <f t="shared" si="89"/>
        <v>6.5000000000000002E-2</v>
      </c>
      <c r="G70" s="224">
        <f t="shared" ref="G70:G105" si="136">IF(PLOT_TYPE=1, E70/100*Iout2, min_I*EXP(Q70*rr/100))</f>
        <v>6.5000000000000002E-2</v>
      </c>
      <c r="H70" s="224">
        <f t="shared" si="91"/>
        <v>0.40949999999999998</v>
      </c>
      <c r="I70" s="224">
        <f t="shared" si="90"/>
        <v>0.97500000000000009</v>
      </c>
      <c r="J70" s="560">
        <f t="shared" si="92"/>
        <v>24</v>
      </c>
      <c r="K70" s="455">
        <f t="shared" si="93"/>
        <v>13.1</v>
      </c>
      <c r="L70" s="455">
        <f t="shared" si="94"/>
        <v>37.1</v>
      </c>
      <c r="M70" s="455"/>
      <c r="N70" s="224">
        <f t="shared" si="95"/>
        <v>0.35309973045822102</v>
      </c>
      <c r="O70" s="179">
        <f t="shared" ref="O70:O101" si="137">N70*J70*Isw_max*0.5*Efficiency*Pout/(Pout+Pout2)</f>
        <v>1.6354982726547966</v>
      </c>
      <c r="P70" s="179">
        <f t="shared" si="96"/>
        <v>3.8940435063209446</v>
      </c>
      <c r="Q70" s="224">
        <f t="shared" si="97"/>
        <v>0.25960290042139628</v>
      </c>
      <c r="R70" s="224">
        <f t="shared" si="98"/>
        <v>0.10903321817698644</v>
      </c>
      <c r="S70" s="455">
        <f t="shared" si="99"/>
        <v>6.3</v>
      </c>
      <c r="T70" s="224">
        <f t="shared" si="100"/>
        <v>0.3630544953350297</v>
      </c>
      <c r="U70" s="224">
        <f t="shared" si="101"/>
        <v>0.83199988514277645</v>
      </c>
      <c r="V70" s="224">
        <f t="shared" si="102"/>
        <v>1.5242745987348578</v>
      </c>
      <c r="W70" s="204">
        <f t="shared" si="103"/>
        <v>350</v>
      </c>
      <c r="X70" s="455">
        <f t="shared" ref="X70:X105" si="138">MIN(1/(U70+V70)*1000, 350)</f>
        <v>350</v>
      </c>
      <c r="Z70" s="224">
        <f t="shared" si="104"/>
        <v>0.44022823537648331</v>
      </c>
      <c r="AA70" s="180">
        <f t="shared" si="105"/>
        <v>1.8482864844050828</v>
      </c>
      <c r="AB70" s="180">
        <f t="shared" si="106"/>
        <v>8.4231817558083441E-2</v>
      </c>
      <c r="AC70" s="180"/>
      <c r="AD70" s="180">
        <f t="shared" si="107"/>
        <v>1.217557251908397</v>
      </c>
      <c r="AE70" s="564">
        <f t="shared" si="108"/>
        <v>622.39346068121324</v>
      </c>
      <c r="AF70" s="547">
        <f t="shared" si="109"/>
        <v>3.6552440597785188E-2</v>
      </c>
      <c r="AH70" s="180">
        <f t="shared" si="110"/>
        <v>0.37926792092682432</v>
      </c>
      <c r="AI70" s="180">
        <f t="shared" si="111"/>
        <v>0.37926792092682432</v>
      </c>
      <c r="AJ70" s="180">
        <f t="shared" si="112"/>
        <v>1.2661243858717217</v>
      </c>
      <c r="AL70" s="564">
        <f t="shared" si="113"/>
        <v>65</v>
      </c>
      <c r="AM70" s="473">
        <f t="shared" si="114"/>
        <v>350</v>
      </c>
      <c r="AO70">
        <f t="shared" ref="AO70:AO105" si="139">IF(H70&gt;O70, "",AL70)</f>
        <v>65</v>
      </c>
      <c r="AP70">
        <f t="shared" si="115"/>
        <v>350</v>
      </c>
      <c r="AR70" s="5">
        <f t="shared" ref="AR70:AR133" si="140">1/AM70*1000</f>
        <v>2.8571428571428572</v>
      </c>
      <c r="AS70" s="5">
        <f t="shared" si="116"/>
        <v>0.86915565212397239</v>
      </c>
      <c r="AT70" s="5">
        <f t="shared" ref="AT70:AT105" si="141">AR70-AS70</f>
        <v>1.9879872050188849</v>
      </c>
      <c r="AU70" s="180">
        <f t="shared" ref="AU70:AU105" si="142">AS70/AR70</f>
        <v>0.30420447824339031</v>
      </c>
      <c r="AW70" s="5">
        <f t="shared" si="117"/>
        <v>0.89674789504854302</v>
      </c>
      <c r="AX70" s="5">
        <f t="shared" si="118"/>
        <v>0.37663411592038809</v>
      </c>
      <c r="AY70" s="5">
        <f t="shared" si="119"/>
        <v>3.1407436745958063E-2</v>
      </c>
      <c r="AZ70" s="5"/>
      <c r="BA70" s="180">
        <f t="shared" ref="BA70:BA105" si="143">AI70*SQRT(AU70/3)</f>
        <v>0.12077256362951032</v>
      </c>
      <c r="BB70" s="180">
        <f t="shared" si="120"/>
        <v>0.1080481262637846</v>
      </c>
      <c r="BC70" s="180">
        <f t="shared" si="121"/>
        <v>0.11049418064446356</v>
      </c>
      <c r="BD70" s="180"/>
      <c r="BE70" s="547">
        <f t="shared" si="122"/>
        <v>5.1051042439754415E-3</v>
      </c>
      <c r="BF70" s="547">
        <f t="shared" si="123"/>
        <v>4.9247939532348149E-2</v>
      </c>
      <c r="BG70" s="547">
        <f t="shared" si="124"/>
        <v>4.3749999999999995E-3</v>
      </c>
      <c r="BH70" s="547">
        <f t="shared" si="125"/>
        <v>2.7700251250000002E-2</v>
      </c>
      <c r="BI70">
        <f t="shared" si="126"/>
        <v>6.96E-3</v>
      </c>
      <c r="BJ70" s="473">
        <f t="shared" ref="BJ70:BJ105" si="144">SUM(BE70:BI70)*1000</f>
        <v>93.38829502632359</v>
      </c>
      <c r="BK70" s="180">
        <f t="shared" si="127"/>
        <v>2.2749999999999999E-2</v>
      </c>
      <c r="BL70" s="180">
        <f t="shared" si="128"/>
        <v>2.2749999999999999E-2</v>
      </c>
      <c r="BM70" s="547"/>
      <c r="BO70" s="473">
        <f t="shared" ref="BO70:BO105" si="145">SUM(BK70:BN70)*1000</f>
        <v>45.5</v>
      </c>
      <c r="BP70" s="547">
        <f t="shared" si="129"/>
        <v>1.6044613338208531E-3</v>
      </c>
      <c r="BQ70" s="547">
        <f t="shared" si="130"/>
        <v>4.0860391561901589E-4</v>
      </c>
      <c r="BR70" s="547">
        <f t="shared" si="131"/>
        <v>3.6626891868874037E-4</v>
      </c>
      <c r="BS70" s="547">
        <f t="shared" si="132"/>
        <v>1.0150919707826231E-2</v>
      </c>
      <c r="BT70" s="657">
        <f t="shared" si="133"/>
        <v>5.0345454545454561E-2</v>
      </c>
      <c r="BU70" s="473">
        <f t="shared" ref="BU70:BU105" si="146">SUM(BP70:BT70)*1000</f>
        <v>62.875708421409406</v>
      </c>
      <c r="BV70" s="180">
        <f t="shared" ref="BV70:BV105" si="147">SUM(BE70:BI70,BK70:BN70,BP70:BT70)</f>
        <v>0.20176400344773296</v>
      </c>
      <c r="BW70" s="5">
        <f t="shared" ref="BW70:BW105" si="148">MIN(H70+I70,O70+P70)</f>
        <v>1.3845000000000001</v>
      </c>
      <c r="BX70" s="180">
        <f t="shared" ref="BX70:BX105" si="149">BW70/(BW70+BV70)</f>
        <v>0.87280553362542401</v>
      </c>
      <c r="BY70" s="5">
        <f t="shared" ref="BY70:BY105" si="150">BX70*100</f>
        <v>87.280553362542406</v>
      </c>
      <c r="BZ70">
        <f t="shared" ref="BZ70:BZ105" si="151">F70/Iout*100</f>
        <v>65</v>
      </c>
      <c r="CB70" s="582">
        <f t="shared" si="134"/>
        <v>-50</v>
      </c>
      <c r="CC70">
        <f t="shared" si="135"/>
        <v>-50</v>
      </c>
    </row>
    <row r="71" spans="5:81" x14ac:dyDescent="0.25">
      <c r="E71" s="177">
        <v>66</v>
      </c>
      <c r="F71" s="224">
        <f t="shared" si="89"/>
        <v>6.6000000000000003E-2</v>
      </c>
      <c r="G71" s="224">
        <f t="shared" si="136"/>
        <v>6.6000000000000003E-2</v>
      </c>
      <c r="H71" s="224">
        <f t="shared" si="91"/>
        <v>0.4158</v>
      </c>
      <c r="I71" s="224">
        <f t="shared" si="90"/>
        <v>0.99</v>
      </c>
      <c r="J71" s="560">
        <f t="shared" si="92"/>
        <v>24</v>
      </c>
      <c r="K71" s="455">
        <f t="shared" si="93"/>
        <v>13.1</v>
      </c>
      <c r="L71" s="455">
        <f t="shared" si="94"/>
        <v>37.1</v>
      </c>
      <c r="M71" s="455"/>
      <c r="N71" s="224">
        <f t="shared" si="95"/>
        <v>0.35309973045822102</v>
      </c>
      <c r="O71" s="179">
        <f t="shared" si="137"/>
        <v>1.6354982726547966</v>
      </c>
      <c r="P71" s="179">
        <f t="shared" si="96"/>
        <v>3.8940435063209446</v>
      </c>
      <c r="Q71" s="224">
        <f t="shared" si="97"/>
        <v>0.25960290042139628</v>
      </c>
      <c r="R71" s="224">
        <f t="shared" si="98"/>
        <v>0.10903321817698644</v>
      </c>
      <c r="S71" s="455">
        <f t="shared" si="99"/>
        <v>6.3</v>
      </c>
      <c r="T71" s="224">
        <f t="shared" si="100"/>
        <v>0.36863994910941472</v>
      </c>
      <c r="U71" s="224">
        <f t="shared" si="101"/>
        <v>0.84479988337574219</v>
      </c>
      <c r="V71" s="224">
        <f t="shared" si="102"/>
        <v>1.5477249771769321</v>
      </c>
      <c r="W71" s="204">
        <f t="shared" si="103"/>
        <v>350</v>
      </c>
      <c r="X71" s="455">
        <f t="shared" si="138"/>
        <v>350</v>
      </c>
      <c r="Z71" s="224">
        <f t="shared" si="104"/>
        <v>0.44022823537648331</v>
      </c>
      <c r="AA71" s="180">
        <f t="shared" si="105"/>
        <v>1.8482864844050828</v>
      </c>
      <c r="AB71" s="180">
        <f t="shared" si="106"/>
        <v>8.4231817558083441E-2</v>
      </c>
      <c r="AC71" s="180"/>
      <c r="AD71" s="180">
        <f t="shared" si="107"/>
        <v>1.217557251908397</v>
      </c>
      <c r="AE71" s="564">
        <f t="shared" si="108"/>
        <v>631.96874469169347</v>
      </c>
      <c r="AF71" s="547">
        <f t="shared" si="109"/>
        <v>3.6552440597785188E-2</v>
      </c>
      <c r="AH71" s="180">
        <f t="shared" si="110"/>
        <v>0.38217423102185061</v>
      </c>
      <c r="AI71" s="180">
        <f t="shared" si="111"/>
        <v>0.38217423102185061</v>
      </c>
      <c r="AJ71" s="180">
        <f t="shared" si="112"/>
        <v>1.2682772081643336</v>
      </c>
      <c r="AL71" s="564">
        <f t="shared" si="113"/>
        <v>66</v>
      </c>
      <c r="AM71" s="473">
        <f t="shared" si="114"/>
        <v>350</v>
      </c>
      <c r="AO71">
        <f t="shared" si="139"/>
        <v>66</v>
      </c>
      <c r="AP71">
        <f t="shared" si="115"/>
        <v>350</v>
      </c>
      <c r="AR71" s="5">
        <f t="shared" si="140"/>
        <v>2.8571428571428572</v>
      </c>
      <c r="AS71" s="5">
        <f t="shared" si="116"/>
        <v>0.87581594609174107</v>
      </c>
      <c r="AT71" s="5">
        <f t="shared" si="141"/>
        <v>1.981326911051116</v>
      </c>
      <c r="AU71" s="180">
        <f t="shared" si="142"/>
        <v>0.30653558113210938</v>
      </c>
      <c r="AW71" s="5">
        <f t="shared" si="117"/>
        <v>0.91752146733420503</v>
      </c>
      <c r="AX71" s="5">
        <f t="shared" si="118"/>
        <v>0.38535901628036612</v>
      </c>
      <c r="AY71" s="5">
        <f t="shared" si="119"/>
        <v>3.1783785864778313E-2</v>
      </c>
      <c r="AZ71" s="5"/>
      <c r="BA71" s="180">
        <f t="shared" si="143"/>
        <v>0.12216343037670178</v>
      </c>
      <c r="BB71" s="180">
        <f t="shared" si="120"/>
        <v>0.10869355819196919</v>
      </c>
      <c r="BC71" s="180">
        <f t="shared" si="121"/>
        <v>0.11115422422441813</v>
      </c>
      <c r="BD71" s="180"/>
      <c r="BE71" s="547">
        <f t="shared" si="122"/>
        <v>5.2233663024911425E-3</v>
      </c>
      <c r="BF71" s="547">
        <f t="shared" si="123"/>
        <v>4.9625323898187308E-2</v>
      </c>
      <c r="BG71" s="547">
        <f t="shared" si="124"/>
        <v>4.3749999999999995E-3</v>
      </c>
      <c r="BH71" s="547">
        <f t="shared" si="125"/>
        <v>2.7700251250000002E-2</v>
      </c>
      <c r="BI71">
        <f t="shared" si="126"/>
        <v>6.96E-3</v>
      </c>
      <c r="BJ71" s="473">
        <f t="shared" si="144"/>
        <v>93.883941450678435</v>
      </c>
      <c r="BK71" s="180">
        <f t="shared" si="127"/>
        <v>2.3099999999999999E-2</v>
      </c>
      <c r="BL71" s="180">
        <f t="shared" si="128"/>
        <v>2.3099999999999999E-2</v>
      </c>
      <c r="BM71" s="547"/>
      <c r="BO71" s="473">
        <f t="shared" si="145"/>
        <v>46.199999999999996</v>
      </c>
      <c r="BP71" s="547">
        <f t="shared" si="129"/>
        <v>1.6416294093543591E-3</v>
      </c>
      <c r="BQ71" s="547">
        <f t="shared" si="130"/>
        <v>4.1350013573508476E-4</v>
      </c>
      <c r="BR71" s="547">
        <f t="shared" si="131"/>
        <v>3.7065784688796669E-4</v>
      </c>
      <c r="BS71" s="547">
        <f t="shared" si="132"/>
        <v>1.0346503671818792E-2</v>
      </c>
      <c r="BT71" s="657">
        <f t="shared" si="133"/>
        <v>5.1119999999999999E-2</v>
      </c>
      <c r="BU71" s="473">
        <f t="shared" si="146"/>
        <v>63.892291063796208</v>
      </c>
      <c r="BV71" s="180">
        <f t="shared" si="147"/>
        <v>0.20397623251447464</v>
      </c>
      <c r="BW71" s="5">
        <f t="shared" si="148"/>
        <v>1.4057999999999999</v>
      </c>
      <c r="BX71" s="180">
        <f t="shared" si="149"/>
        <v>0.87328907683283208</v>
      </c>
      <c r="BY71" s="5">
        <f t="shared" si="150"/>
        <v>87.328907683283205</v>
      </c>
      <c r="BZ71">
        <f t="shared" si="151"/>
        <v>66</v>
      </c>
      <c r="CB71" s="582">
        <f t="shared" si="134"/>
        <v>-50</v>
      </c>
      <c r="CC71">
        <f t="shared" si="135"/>
        <v>-50</v>
      </c>
    </row>
    <row r="72" spans="5:81" x14ac:dyDescent="0.25">
      <c r="E72" s="177">
        <v>67</v>
      </c>
      <c r="F72" s="224">
        <f t="shared" ref="F72:F103" si="152">IF(PLOT_TYPE=1, E72/100*Iout_max, min_I*EXP(O72*rr/100))</f>
        <v>6.7000000000000004E-2</v>
      </c>
      <c r="G72" s="224">
        <f t="shared" si="136"/>
        <v>6.7000000000000004E-2</v>
      </c>
      <c r="H72" s="224">
        <f t="shared" si="91"/>
        <v>0.42210000000000003</v>
      </c>
      <c r="I72" s="224">
        <f t="shared" ref="I72:I105" si="153">Vout2*G72</f>
        <v>1.0050000000000001</v>
      </c>
      <c r="J72" s="560">
        <f t="shared" si="92"/>
        <v>24</v>
      </c>
      <c r="K72" s="455">
        <f t="shared" si="93"/>
        <v>13.1</v>
      </c>
      <c r="L72" s="455">
        <f t="shared" si="94"/>
        <v>37.1</v>
      </c>
      <c r="M72" s="455"/>
      <c r="N72" s="224">
        <f t="shared" si="95"/>
        <v>0.35309973045822102</v>
      </c>
      <c r="O72" s="179">
        <f t="shared" si="137"/>
        <v>1.6354982726547966</v>
      </c>
      <c r="P72" s="179">
        <f t="shared" si="96"/>
        <v>3.8940435063209446</v>
      </c>
      <c r="Q72" s="224">
        <f t="shared" si="97"/>
        <v>0.25960290042139628</v>
      </c>
      <c r="R72" s="224">
        <f t="shared" si="98"/>
        <v>0.10903321817698644</v>
      </c>
      <c r="S72" s="455">
        <f t="shared" si="99"/>
        <v>6.3</v>
      </c>
      <c r="T72" s="224">
        <f t="shared" si="100"/>
        <v>0.37422540288379991</v>
      </c>
      <c r="U72" s="224">
        <f t="shared" si="101"/>
        <v>0.85759988160870826</v>
      </c>
      <c r="V72" s="224">
        <f t="shared" si="102"/>
        <v>1.5711753556190073</v>
      </c>
      <c r="W72" s="204">
        <f t="shared" si="103"/>
        <v>350</v>
      </c>
      <c r="X72" s="455">
        <f t="shared" si="138"/>
        <v>350</v>
      </c>
      <c r="Z72" s="224">
        <f t="shared" si="104"/>
        <v>0.44022823537648331</v>
      </c>
      <c r="AA72" s="180">
        <f t="shared" si="105"/>
        <v>1.8482864844050828</v>
      </c>
      <c r="AB72" s="180">
        <f t="shared" si="106"/>
        <v>8.4231817558083441E-2</v>
      </c>
      <c r="AC72" s="180"/>
      <c r="AD72" s="180">
        <f t="shared" si="107"/>
        <v>1.217557251908397</v>
      </c>
      <c r="AE72" s="564">
        <f t="shared" si="108"/>
        <v>641.54402870217359</v>
      </c>
      <c r="AF72" s="547">
        <f t="shared" si="109"/>
        <v>3.6552440597785188E-2</v>
      </c>
      <c r="AH72" s="180">
        <f t="shared" si="110"/>
        <v>0.38505860576038276</v>
      </c>
      <c r="AI72" s="180">
        <f t="shared" si="111"/>
        <v>0.38505860576038276</v>
      </c>
      <c r="AJ72" s="180">
        <f t="shared" si="112"/>
        <v>1.2704137820447279</v>
      </c>
      <c r="AL72" s="564">
        <f t="shared" si="113"/>
        <v>67</v>
      </c>
      <c r="AM72" s="473">
        <f t="shared" si="114"/>
        <v>350</v>
      </c>
      <c r="AO72">
        <f t="shared" si="139"/>
        <v>67</v>
      </c>
      <c r="AP72">
        <f t="shared" si="115"/>
        <v>350</v>
      </c>
      <c r="AR72" s="5">
        <f t="shared" si="140"/>
        <v>2.8571428571428572</v>
      </c>
      <c r="AS72" s="5">
        <f t="shared" si="116"/>
        <v>0.88242597153421054</v>
      </c>
      <c r="AT72" s="5">
        <f t="shared" si="141"/>
        <v>1.9747168856086468</v>
      </c>
      <c r="AU72" s="180">
        <f t="shared" si="142"/>
        <v>0.30884909003697369</v>
      </c>
      <c r="AW72" s="5">
        <f t="shared" si="117"/>
        <v>0.93845301734590647</v>
      </c>
      <c r="AX72" s="5">
        <f t="shared" si="118"/>
        <v>0.39415026728528074</v>
      </c>
      <c r="AY72" s="5">
        <f t="shared" si="119"/>
        <v>3.2157715949668583E-2</v>
      </c>
      <c r="AZ72" s="5"/>
      <c r="BA72" s="180">
        <f t="shared" si="143"/>
        <v>0.12354903842881379</v>
      </c>
      <c r="BB72" s="180">
        <f t="shared" si="120"/>
        <v>0.10933106796021951</v>
      </c>
      <c r="BC72" s="180">
        <f t="shared" si="121"/>
        <v>0.11180616629811675</v>
      </c>
      <c r="BD72" s="180"/>
      <c r="BE72" s="547">
        <f t="shared" si="122"/>
        <v>5.3425277138395774E-3</v>
      </c>
      <c r="BF72" s="547">
        <f t="shared" si="123"/>
        <v>4.9999859957985712E-2</v>
      </c>
      <c r="BG72" s="547">
        <f t="shared" si="124"/>
        <v>4.3749999999999995E-3</v>
      </c>
      <c r="BH72" s="547">
        <f t="shared" si="125"/>
        <v>2.7700251250000002E-2</v>
      </c>
      <c r="BI72">
        <f t="shared" si="126"/>
        <v>6.96E-3</v>
      </c>
      <c r="BJ72" s="473">
        <f t="shared" si="144"/>
        <v>94.37763892182528</v>
      </c>
      <c r="BK72" s="180">
        <f t="shared" si="127"/>
        <v>2.3449999999999999E-2</v>
      </c>
      <c r="BL72" s="180">
        <f t="shared" si="128"/>
        <v>2.3449999999999999E-2</v>
      </c>
      <c r="BM72" s="547"/>
      <c r="BO72" s="473">
        <f t="shared" si="145"/>
        <v>46.9</v>
      </c>
      <c r="BP72" s="547">
        <f t="shared" si="129"/>
        <v>1.6790801386352958E-3</v>
      </c>
      <c r="BQ72" s="547">
        <f t="shared" si="130"/>
        <v>4.1836488474627479E-4</v>
      </c>
      <c r="BR72" s="547">
        <f t="shared" si="131"/>
        <v>3.7501856466846413E-4</v>
      </c>
      <c r="BS72" s="547">
        <f t="shared" si="132"/>
        <v>1.05428299139538E-2</v>
      </c>
      <c r="BT72" s="657">
        <f t="shared" si="133"/>
        <v>5.1894545454545457E-2</v>
      </c>
      <c r="BU72" s="473">
        <f t="shared" si="146"/>
        <v>64.909838956549294</v>
      </c>
      <c r="BV72" s="180">
        <f t="shared" si="147"/>
        <v>0.20618747787837455</v>
      </c>
      <c r="BW72" s="5">
        <f t="shared" si="148"/>
        <v>1.4271000000000003</v>
      </c>
      <c r="BX72" s="180">
        <f t="shared" si="149"/>
        <v>0.87375922446536469</v>
      </c>
      <c r="BY72" s="5">
        <f t="shared" si="150"/>
        <v>87.375922446536464</v>
      </c>
      <c r="BZ72">
        <f t="shared" si="151"/>
        <v>67</v>
      </c>
      <c r="CB72" s="582">
        <f t="shared" si="134"/>
        <v>-50</v>
      </c>
      <c r="CC72">
        <f t="shared" si="135"/>
        <v>-50</v>
      </c>
    </row>
    <row r="73" spans="5:81" x14ac:dyDescent="0.25">
      <c r="E73" s="177">
        <v>68</v>
      </c>
      <c r="F73" s="224">
        <f t="shared" si="152"/>
        <v>6.8000000000000005E-2</v>
      </c>
      <c r="G73" s="224">
        <f t="shared" si="136"/>
        <v>6.8000000000000005E-2</v>
      </c>
      <c r="H73" s="224">
        <f t="shared" si="91"/>
        <v>0.4284</v>
      </c>
      <c r="I73" s="224">
        <f t="shared" si="153"/>
        <v>1.02</v>
      </c>
      <c r="J73" s="560">
        <f t="shared" si="92"/>
        <v>24</v>
      </c>
      <c r="K73" s="455">
        <f t="shared" si="93"/>
        <v>13.1</v>
      </c>
      <c r="L73" s="455">
        <f t="shared" si="94"/>
        <v>37.1</v>
      </c>
      <c r="M73" s="455"/>
      <c r="N73" s="224">
        <f t="shared" si="95"/>
        <v>0.35309973045822102</v>
      </c>
      <c r="O73" s="179">
        <f t="shared" si="137"/>
        <v>1.6354982726547966</v>
      </c>
      <c r="P73" s="179">
        <f t="shared" si="96"/>
        <v>3.8940435063209446</v>
      </c>
      <c r="Q73" s="224">
        <f t="shared" si="97"/>
        <v>0.25960290042139628</v>
      </c>
      <c r="R73" s="224">
        <f t="shared" si="98"/>
        <v>0.10903321817698644</v>
      </c>
      <c r="S73" s="455">
        <f t="shared" si="99"/>
        <v>6.3</v>
      </c>
      <c r="T73" s="224">
        <f t="shared" si="100"/>
        <v>0.37981085665818487</v>
      </c>
      <c r="U73" s="224">
        <f t="shared" si="101"/>
        <v>0.87039987984167366</v>
      </c>
      <c r="V73" s="224">
        <f t="shared" si="102"/>
        <v>1.5946257340610819</v>
      </c>
      <c r="W73" s="204">
        <f t="shared" si="103"/>
        <v>350</v>
      </c>
      <c r="X73" s="455">
        <f t="shared" si="138"/>
        <v>350</v>
      </c>
      <c r="Z73" s="224">
        <f t="shared" si="104"/>
        <v>0.44022823537648331</v>
      </c>
      <c r="AA73" s="180">
        <f t="shared" si="105"/>
        <v>1.8482864844050828</v>
      </c>
      <c r="AB73" s="180">
        <f t="shared" si="106"/>
        <v>8.4231817558083441E-2</v>
      </c>
      <c r="AC73" s="180"/>
      <c r="AD73" s="180">
        <f t="shared" si="107"/>
        <v>1.217557251908397</v>
      </c>
      <c r="AE73" s="564">
        <f t="shared" si="108"/>
        <v>651.11931271265382</v>
      </c>
      <c r="AF73" s="547">
        <f t="shared" si="109"/>
        <v>3.6552440597785188E-2</v>
      </c>
      <c r="AH73" s="180">
        <f t="shared" si="110"/>
        <v>0.38792153444107341</v>
      </c>
      <c r="AI73" s="180">
        <f t="shared" si="111"/>
        <v>0.38792153444107341</v>
      </c>
      <c r="AJ73" s="180">
        <f t="shared" si="112"/>
        <v>1.2725344699563506</v>
      </c>
      <c r="AL73" s="564">
        <f t="shared" si="113"/>
        <v>68</v>
      </c>
      <c r="AM73" s="473">
        <f t="shared" si="114"/>
        <v>350</v>
      </c>
      <c r="AO73">
        <f t="shared" si="139"/>
        <v>68</v>
      </c>
      <c r="AP73">
        <f t="shared" si="115"/>
        <v>350</v>
      </c>
      <c r="AR73" s="5">
        <f t="shared" si="140"/>
        <v>2.8571428571428572</v>
      </c>
      <c r="AS73" s="5">
        <f t="shared" si="116"/>
        <v>0.88898684976079334</v>
      </c>
      <c r="AT73" s="5">
        <f t="shared" si="141"/>
        <v>1.9681560073820639</v>
      </c>
      <c r="AU73" s="180">
        <f t="shared" si="142"/>
        <v>0.31114539741627767</v>
      </c>
      <c r="AW73" s="5">
        <f t="shared" si="117"/>
        <v>0.95954136164657056</v>
      </c>
      <c r="AX73" s="5">
        <f t="shared" si="118"/>
        <v>0.40300737189155966</v>
      </c>
      <c r="AY73" s="5">
        <f t="shared" si="119"/>
        <v>3.2529245122009103E-2</v>
      </c>
      <c r="AZ73" s="5"/>
      <c r="BA73" s="180">
        <f t="shared" si="143"/>
        <v>0.12492948572032889</v>
      </c>
      <c r="BB73" s="180">
        <f t="shared" si="120"/>
        <v>0.10996082398586958</v>
      </c>
      <c r="BC73" s="180">
        <f t="shared" si="121"/>
        <v>0.11245017909561993</v>
      </c>
      <c r="BD73" s="180"/>
      <c r="BE73" s="547">
        <f t="shared" si="122"/>
        <v>5.4625817408210505E-3</v>
      </c>
      <c r="BF73" s="547">
        <f t="shared" si="123"/>
        <v>5.037161124717339E-2</v>
      </c>
      <c r="BG73" s="547">
        <f t="shared" si="124"/>
        <v>4.3749999999999995E-3</v>
      </c>
      <c r="BH73" s="547">
        <f t="shared" si="125"/>
        <v>2.7700251250000002E-2</v>
      </c>
      <c r="BI73">
        <f t="shared" si="126"/>
        <v>6.96E-3</v>
      </c>
      <c r="BJ73" s="473">
        <f t="shared" si="144"/>
        <v>94.869444237994429</v>
      </c>
      <c r="BK73" s="180">
        <f t="shared" si="127"/>
        <v>2.3800000000000002E-2</v>
      </c>
      <c r="BL73" s="180">
        <f t="shared" si="128"/>
        <v>2.3800000000000002E-2</v>
      </c>
      <c r="BM73" s="547"/>
      <c r="BO73" s="473">
        <f t="shared" si="145"/>
        <v>47.6</v>
      </c>
      <c r="BP73" s="547">
        <f t="shared" si="129"/>
        <v>1.7168114042580445E-3</v>
      </c>
      <c r="BQ73" s="547">
        <f t="shared" si="130"/>
        <v>4.2319839840779873E-4</v>
      </c>
      <c r="BR73" s="547">
        <f t="shared" si="131"/>
        <v>3.7935128335910993E-4</v>
      </c>
      <c r="BS73" s="547">
        <f t="shared" si="132"/>
        <v>1.0739890109002243E-2</v>
      </c>
      <c r="BT73" s="657">
        <f t="shared" si="133"/>
        <v>5.2669090909090922E-2</v>
      </c>
      <c r="BU73" s="473">
        <f t="shared" si="146"/>
        <v>65.928342104118116</v>
      </c>
      <c r="BV73" s="180">
        <f t="shared" si="147"/>
        <v>0.20839778634211256</v>
      </c>
      <c r="BW73" s="5">
        <f t="shared" si="148"/>
        <v>1.4483999999999999</v>
      </c>
      <c r="BX73" s="180">
        <f t="shared" si="149"/>
        <v>0.87421652294561891</v>
      </c>
      <c r="BY73" s="5">
        <f t="shared" si="150"/>
        <v>87.421652294561895</v>
      </c>
      <c r="BZ73">
        <f t="shared" si="151"/>
        <v>68</v>
      </c>
      <c r="CB73" s="582">
        <f t="shared" si="134"/>
        <v>-50</v>
      </c>
      <c r="CC73">
        <f t="shared" si="135"/>
        <v>-50</v>
      </c>
    </row>
    <row r="74" spans="5:81" x14ac:dyDescent="0.25">
      <c r="E74" s="177">
        <v>69</v>
      </c>
      <c r="F74" s="224">
        <f t="shared" si="152"/>
        <v>6.8999999999999992E-2</v>
      </c>
      <c r="G74" s="224">
        <f t="shared" si="136"/>
        <v>6.8999999999999992E-2</v>
      </c>
      <c r="H74" s="224">
        <f t="shared" si="91"/>
        <v>0.43469999999999992</v>
      </c>
      <c r="I74" s="224">
        <f t="shared" si="153"/>
        <v>1.0349999999999999</v>
      </c>
      <c r="J74" s="560">
        <f t="shared" si="92"/>
        <v>24</v>
      </c>
      <c r="K74" s="455">
        <f t="shared" si="93"/>
        <v>13.1</v>
      </c>
      <c r="L74" s="455">
        <f t="shared" si="94"/>
        <v>37.1</v>
      </c>
      <c r="M74" s="455"/>
      <c r="N74" s="224">
        <f t="shared" si="95"/>
        <v>0.35309973045822102</v>
      </c>
      <c r="O74" s="179">
        <f t="shared" si="137"/>
        <v>1.6354982726547966</v>
      </c>
      <c r="P74" s="179">
        <f t="shared" si="96"/>
        <v>3.8940435063209446</v>
      </c>
      <c r="Q74" s="224">
        <f t="shared" si="97"/>
        <v>0.25960290042139628</v>
      </c>
      <c r="R74" s="224">
        <f t="shared" si="98"/>
        <v>0.10903321817698644</v>
      </c>
      <c r="S74" s="455">
        <f t="shared" si="99"/>
        <v>6.3</v>
      </c>
      <c r="T74" s="224">
        <f t="shared" si="100"/>
        <v>0.38539631043256989</v>
      </c>
      <c r="U74" s="224">
        <f t="shared" si="101"/>
        <v>0.88319987807463929</v>
      </c>
      <c r="V74" s="224">
        <f t="shared" si="102"/>
        <v>1.618076112503156</v>
      </c>
      <c r="W74" s="204">
        <f t="shared" si="103"/>
        <v>350</v>
      </c>
      <c r="X74" s="455">
        <f t="shared" si="138"/>
        <v>350</v>
      </c>
      <c r="Z74" s="224">
        <f t="shared" si="104"/>
        <v>0.44022823537648331</v>
      </c>
      <c r="AA74" s="180">
        <f t="shared" si="105"/>
        <v>1.8482864844050828</v>
      </c>
      <c r="AB74" s="180">
        <f t="shared" si="106"/>
        <v>8.4231817558083441E-2</v>
      </c>
      <c r="AC74" s="180"/>
      <c r="AD74" s="180">
        <f t="shared" si="107"/>
        <v>1.217557251908397</v>
      </c>
      <c r="AE74" s="564">
        <f t="shared" si="108"/>
        <v>660.69459672313394</v>
      </c>
      <c r="AF74" s="547">
        <f t="shared" si="109"/>
        <v>3.6552440597785188E-2</v>
      </c>
      <c r="AH74" s="180">
        <f t="shared" si="110"/>
        <v>0.39076348843783226</v>
      </c>
      <c r="AI74" s="180">
        <f t="shared" si="111"/>
        <v>0.39076348843783226</v>
      </c>
      <c r="AJ74" s="180">
        <f t="shared" si="112"/>
        <v>1.2746396210650608</v>
      </c>
      <c r="AL74" s="564">
        <f t="shared" si="113"/>
        <v>68.999999999999986</v>
      </c>
      <c r="AM74" s="473">
        <f t="shared" si="114"/>
        <v>350</v>
      </c>
      <c r="AO74">
        <f t="shared" si="139"/>
        <v>68.999999999999986</v>
      </c>
      <c r="AP74">
        <f t="shared" si="115"/>
        <v>350</v>
      </c>
      <c r="AR74" s="5">
        <f t="shared" si="140"/>
        <v>2.8571428571428572</v>
      </c>
      <c r="AS74" s="5">
        <f t="shared" si="116"/>
        <v>0.89549966100336564</v>
      </c>
      <c r="AT74" s="5">
        <f t="shared" si="141"/>
        <v>1.9616431961394916</v>
      </c>
      <c r="AU74" s="180">
        <f t="shared" si="142"/>
        <v>0.31342488135117796</v>
      </c>
      <c r="AW74" s="5">
        <f t="shared" si="117"/>
        <v>0.98078534300368603</v>
      </c>
      <c r="AX74" s="5">
        <f t="shared" si="118"/>
        <v>0.41192984406154814</v>
      </c>
      <c r="AY74" s="5">
        <f t="shared" si="119"/>
        <v>3.2898391101922705E-2</v>
      </c>
      <c r="AZ74" s="5"/>
      <c r="BA74" s="180">
        <f t="shared" si="143"/>
        <v>0.12630486695086021</v>
      </c>
      <c r="BB74" s="180">
        <f t="shared" si="120"/>
        <v>0.11058298852052849</v>
      </c>
      <c r="BC74" s="180">
        <f t="shared" si="121"/>
        <v>0.11308642854168018</v>
      </c>
      <c r="BD74" s="180"/>
      <c r="BE74" s="547">
        <f t="shared" si="122"/>
        <v>5.5835217954160752E-3</v>
      </c>
      <c r="BF74" s="547">
        <f t="shared" si="123"/>
        <v>5.0740638973652524E-2</v>
      </c>
      <c r="BG74" s="547">
        <f t="shared" si="124"/>
        <v>4.3749999999999995E-3</v>
      </c>
      <c r="BH74" s="547">
        <f t="shared" si="125"/>
        <v>2.7700251250000002E-2</v>
      </c>
      <c r="BI74">
        <f t="shared" si="126"/>
        <v>6.96E-3</v>
      </c>
      <c r="BJ74" s="473">
        <f t="shared" si="144"/>
        <v>95.359412019068586</v>
      </c>
      <c r="BK74" s="180">
        <f t="shared" si="127"/>
        <v>2.4149999999999994E-2</v>
      </c>
      <c r="BL74" s="180">
        <f t="shared" si="128"/>
        <v>2.4149999999999994E-2</v>
      </c>
      <c r="BM74" s="547"/>
      <c r="BO74" s="473">
        <f t="shared" si="145"/>
        <v>48.29999999999999</v>
      </c>
      <c r="BP74" s="547">
        <f t="shared" si="129"/>
        <v>1.7548211357021951E-3</v>
      </c>
      <c r="BQ74" s="547">
        <f t="shared" si="130"/>
        <v>4.280009072545968E-4</v>
      </c>
      <c r="BR74" s="547">
        <f t="shared" si="131"/>
        <v>3.8365620960937609E-4</v>
      </c>
      <c r="BS74" s="547">
        <f t="shared" si="132"/>
        <v>1.0937676146406229E-2</v>
      </c>
      <c r="BT74" s="657">
        <f t="shared" si="133"/>
        <v>5.344363636363636E-2</v>
      </c>
      <c r="BU74" s="473">
        <f t="shared" si="146"/>
        <v>66.947790762608761</v>
      </c>
      <c r="BV74" s="180">
        <f t="shared" si="147"/>
        <v>0.2106072027816773</v>
      </c>
      <c r="BW74" s="5">
        <f t="shared" si="148"/>
        <v>1.4696999999999998</v>
      </c>
      <c r="BX74" s="180">
        <f t="shared" si="149"/>
        <v>0.87466148902234908</v>
      </c>
      <c r="BY74" s="5">
        <f t="shared" si="150"/>
        <v>87.466148902234906</v>
      </c>
      <c r="BZ74">
        <f t="shared" si="151"/>
        <v>68.999999999999986</v>
      </c>
      <c r="CB74" s="582">
        <f t="shared" si="134"/>
        <v>-50</v>
      </c>
      <c r="CC74">
        <f t="shared" si="135"/>
        <v>-50</v>
      </c>
    </row>
    <row r="75" spans="5:81" x14ac:dyDescent="0.25">
      <c r="E75" s="177">
        <v>70</v>
      </c>
      <c r="F75" s="224">
        <f t="shared" si="152"/>
        <v>6.9999999999999993E-2</v>
      </c>
      <c r="G75" s="224">
        <f t="shared" si="136"/>
        <v>6.9999999999999993E-2</v>
      </c>
      <c r="H75" s="224">
        <f t="shared" si="91"/>
        <v>0.44099999999999995</v>
      </c>
      <c r="I75" s="224">
        <f t="shared" si="153"/>
        <v>1.0499999999999998</v>
      </c>
      <c r="J75" s="560">
        <f t="shared" si="92"/>
        <v>24</v>
      </c>
      <c r="K75" s="455">
        <f t="shared" si="93"/>
        <v>13.1</v>
      </c>
      <c r="L75" s="455">
        <f t="shared" si="94"/>
        <v>37.1</v>
      </c>
      <c r="M75" s="455"/>
      <c r="N75" s="224">
        <f t="shared" si="95"/>
        <v>0.35309973045822102</v>
      </c>
      <c r="O75" s="179">
        <f t="shared" si="137"/>
        <v>1.6354982726547966</v>
      </c>
      <c r="P75" s="179">
        <f t="shared" si="96"/>
        <v>3.8940435063209446</v>
      </c>
      <c r="Q75" s="224">
        <f t="shared" si="97"/>
        <v>0.25960290042139628</v>
      </c>
      <c r="R75" s="224">
        <f t="shared" si="98"/>
        <v>0.10903321817698644</v>
      </c>
      <c r="S75" s="455">
        <f t="shared" si="99"/>
        <v>6.3</v>
      </c>
      <c r="T75" s="224">
        <f t="shared" si="100"/>
        <v>0.39098176420695496</v>
      </c>
      <c r="U75" s="224">
        <f t="shared" si="101"/>
        <v>0.89599987630760514</v>
      </c>
      <c r="V75" s="224">
        <f t="shared" si="102"/>
        <v>1.641526490945231</v>
      </c>
      <c r="W75" s="204">
        <f t="shared" si="103"/>
        <v>350</v>
      </c>
      <c r="X75" s="455">
        <f t="shared" si="138"/>
        <v>350</v>
      </c>
      <c r="Z75" s="224">
        <f t="shared" si="104"/>
        <v>0.44022823537648331</v>
      </c>
      <c r="AA75" s="180">
        <f t="shared" si="105"/>
        <v>1.8482864844050828</v>
      </c>
      <c r="AB75" s="180">
        <f t="shared" si="106"/>
        <v>8.4231817558083441E-2</v>
      </c>
      <c r="AC75" s="180"/>
      <c r="AD75" s="180">
        <f t="shared" si="107"/>
        <v>1.217557251908397</v>
      </c>
      <c r="AE75" s="564">
        <f t="shared" si="108"/>
        <v>670.26988073361417</v>
      </c>
      <c r="AF75" s="547">
        <f t="shared" si="109"/>
        <v>3.6552440597785188E-2</v>
      </c>
      <c r="AH75" s="180">
        <f t="shared" si="110"/>
        <v>0.39358492210587903</v>
      </c>
      <c r="AI75" s="180">
        <f t="shared" si="111"/>
        <v>0.39358492210587903</v>
      </c>
      <c r="AJ75" s="180">
        <f t="shared" si="112"/>
        <v>1.2767295719302807</v>
      </c>
      <c r="AL75" s="564">
        <f t="shared" si="113"/>
        <v>69.999999999999986</v>
      </c>
      <c r="AM75" s="473">
        <f t="shared" si="114"/>
        <v>350</v>
      </c>
      <c r="AO75">
        <f t="shared" si="139"/>
        <v>69.999999999999986</v>
      </c>
      <c r="AP75">
        <f t="shared" si="115"/>
        <v>350</v>
      </c>
      <c r="AR75" s="5">
        <f t="shared" si="140"/>
        <v>2.8571428571428572</v>
      </c>
      <c r="AS75" s="5">
        <f t="shared" si="116"/>
        <v>0.90196544649263954</v>
      </c>
      <c r="AT75" s="5">
        <f t="shared" si="141"/>
        <v>1.9551774106502178</v>
      </c>
      <c r="AU75" s="180">
        <f t="shared" si="142"/>
        <v>0.31568790627242382</v>
      </c>
      <c r="AW75" s="5">
        <f t="shared" si="117"/>
        <v>1.0021838294362659</v>
      </c>
      <c r="AX75" s="5">
        <f t="shared" si="118"/>
        <v>0.42091720836323177</v>
      </c>
      <c r="AY75" s="5">
        <f t="shared" si="119"/>
        <v>3.3265171222868276E-2</v>
      </c>
      <c r="AZ75" s="5"/>
      <c r="BA75" s="180">
        <f t="shared" si="143"/>
        <v>0.12767527373726342</v>
      </c>
      <c r="BB75" s="180">
        <f t="shared" si="120"/>
        <v>0.1111977179610646</v>
      </c>
      <c r="BC75" s="180">
        <f t="shared" si="121"/>
        <v>0.1137150745737663</v>
      </c>
      <c r="BD75" s="180"/>
      <c r="BE75" s="547">
        <f t="shared" si="122"/>
        <v>5.7053414333598004E-3</v>
      </c>
      <c r="BF75" s="547">
        <f t="shared" si="123"/>
        <v>5.1107002135448394E-2</v>
      </c>
      <c r="BG75" s="547">
        <f t="shared" si="124"/>
        <v>4.3749999999999995E-3</v>
      </c>
      <c r="BH75" s="547">
        <f t="shared" si="125"/>
        <v>2.7700251250000002E-2</v>
      </c>
      <c r="BI75">
        <f t="shared" si="126"/>
        <v>6.96E-3</v>
      </c>
      <c r="BJ75" s="473">
        <f t="shared" si="144"/>
        <v>95.84759481880819</v>
      </c>
      <c r="BK75" s="180">
        <f t="shared" si="127"/>
        <v>2.4499999999999997E-2</v>
      </c>
      <c r="BL75" s="180">
        <f t="shared" si="128"/>
        <v>2.4499999999999997E-2</v>
      </c>
      <c r="BM75" s="547"/>
      <c r="BO75" s="473">
        <f t="shared" si="145"/>
        <v>48.999999999999993</v>
      </c>
      <c r="BP75" s="547">
        <f t="shared" si="129"/>
        <v>1.793107307627366E-3</v>
      </c>
      <c r="BQ75" s="547">
        <f t="shared" si="130"/>
        <v>4.3277263679119648E-4</v>
      </c>
      <c r="BR75" s="547">
        <f t="shared" si="131"/>
        <v>3.8793354555951692E-4</v>
      </c>
      <c r="BS75" s="547">
        <f t="shared" si="132"/>
        <v>1.1136180121706482E-2</v>
      </c>
      <c r="BT75" s="657">
        <f t="shared" si="133"/>
        <v>5.4218181818181811E-2</v>
      </c>
      <c r="BU75" s="473">
        <f t="shared" si="146"/>
        <v>67.968175429866363</v>
      </c>
      <c r="BV75" s="180">
        <f t="shared" si="147"/>
        <v>0.21281577024867454</v>
      </c>
      <c r="BW75" s="5">
        <f t="shared" si="148"/>
        <v>1.4909999999999997</v>
      </c>
      <c r="BX75" s="180">
        <f t="shared" si="149"/>
        <v>0.87509461177389281</v>
      </c>
      <c r="BY75" s="5">
        <f t="shared" si="150"/>
        <v>87.509461177389284</v>
      </c>
      <c r="BZ75">
        <f t="shared" si="151"/>
        <v>69.999999999999986</v>
      </c>
      <c r="CB75" s="582">
        <f t="shared" si="134"/>
        <v>-50</v>
      </c>
      <c r="CC75">
        <f t="shared" si="135"/>
        <v>-50</v>
      </c>
    </row>
    <row r="76" spans="5:81" x14ac:dyDescent="0.25">
      <c r="E76" s="177">
        <v>71</v>
      </c>
      <c r="F76" s="224">
        <f t="shared" si="152"/>
        <v>7.0999999999999994E-2</v>
      </c>
      <c r="G76" s="224">
        <f t="shared" si="136"/>
        <v>7.0999999999999994E-2</v>
      </c>
      <c r="H76" s="224">
        <f t="shared" si="91"/>
        <v>0.44729999999999992</v>
      </c>
      <c r="I76" s="224">
        <f t="shared" si="153"/>
        <v>1.0649999999999999</v>
      </c>
      <c r="J76" s="560">
        <f t="shared" si="92"/>
        <v>24</v>
      </c>
      <c r="K76" s="455">
        <f t="shared" si="93"/>
        <v>13.1</v>
      </c>
      <c r="L76" s="455">
        <f t="shared" si="94"/>
        <v>37.1</v>
      </c>
      <c r="M76" s="455"/>
      <c r="N76" s="224">
        <f t="shared" si="95"/>
        <v>0.35309973045822102</v>
      </c>
      <c r="O76" s="179">
        <f t="shared" si="137"/>
        <v>1.6354982726547966</v>
      </c>
      <c r="P76" s="179">
        <f t="shared" si="96"/>
        <v>3.8940435063209446</v>
      </c>
      <c r="Q76" s="224">
        <f t="shared" si="97"/>
        <v>0.25960290042139628</v>
      </c>
      <c r="R76" s="224">
        <f t="shared" si="98"/>
        <v>0.10903321817698644</v>
      </c>
      <c r="S76" s="455">
        <f t="shared" si="99"/>
        <v>6.3</v>
      </c>
      <c r="T76" s="224">
        <f t="shared" si="100"/>
        <v>0.39656721798134004</v>
      </c>
      <c r="U76" s="224">
        <f t="shared" si="101"/>
        <v>0.90879987454057087</v>
      </c>
      <c r="V76" s="224">
        <f t="shared" si="102"/>
        <v>1.6649768693873055</v>
      </c>
      <c r="W76" s="204">
        <f t="shared" si="103"/>
        <v>350</v>
      </c>
      <c r="X76" s="455">
        <f t="shared" si="138"/>
        <v>350</v>
      </c>
      <c r="Z76" s="224">
        <f t="shared" si="104"/>
        <v>0.44022823537648331</v>
      </c>
      <c r="AA76" s="180">
        <f t="shared" si="105"/>
        <v>1.8482864844050828</v>
      </c>
      <c r="AB76" s="180">
        <f t="shared" si="106"/>
        <v>8.4231817558083441E-2</v>
      </c>
      <c r="AC76" s="180"/>
      <c r="AD76" s="180">
        <f t="shared" si="107"/>
        <v>1.217557251908397</v>
      </c>
      <c r="AE76" s="564">
        <f t="shared" si="108"/>
        <v>679.8451647440944</v>
      </c>
      <c r="AF76" s="547">
        <f t="shared" si="109"/>
        <v>3.6552440597785188E-2</v>
      </c>
      <c r="AH76" s="180">
        <f t="shared" si="110"/>
        <v>0.39638627362974854</v>
      </c>
      <c r="AI76" s="180">
        <f t="shared" si="111"/>
        <v>0.39638627362974854</v>
      </c>
      <c r="AJ76" s="180">
        <f t="shared" si="112"/>
        <v>1.2788046471331471</v>
      </c>
      <c r="AL76" s="564">
        <f t="shared" si="113"/>
        <v>71</v>
      </c>
      <c r="AM76" s="473">
        <f t="shared" si="114"/>
        <v>350</v>
      </c>
      <c r="AO76">
        <f t="shared" si="139"/>
        <v>71</v>
      </c>
      <c r="AP76">
        <f t="shared" si="115"/>
        <v>350</v>
      </c>
      <c r="AR76" s="5">
        <f t="shared" si="140"/>
        <v>2.8571428571428572</v>
      </c>
      <c r="AS76" s="5">
        <f t="shared" si="116"/>
        <v>0.9083852104015071</v>
      </c>
      <c r="AT76" s="5">
        <f t="shared" si="141"/>
        <v>1.9487576467413501</v>
      </c>
      <c r="AU76" s="180">
        <f t="shared" si="142"/>
        <v>0.3179348236405275</v>
      </c>
      <c r="AW76" s="5">
        <f t="shared" si="117"/>
        <v>1.023735713309635</v>
      </c>
      <c r="AX76" s="5">
        <f t="shared" si="118"/>
        <v>0.42996899959004664</v>
      </c>
      <c r="AY76" s="5">
        <f t="shared" si="119"/>
        <v>3.3629602445501755E-2</v>
      </c>
      <c r="AZ76" s="5"/>
      <c r="BA76" s="180">
        <f t="shared" si="143"/>
        <v>0.12904079475652788</v>
      </c>
      <c r="BB76" s="180">
        <f t="shared" si="120"/>
        <v>0.11180516314068605</v>
      </c>
      <c r="BC76" s="180">
        <f t="shared" si="121"/>
        <v>0.11433627143973359</v>
      </c>
      <c r="BD76" s="180"/>
      <c r="BE76" s="547">
        <f t="shared" si="122"/>
        <v>5.8280343489887235E-3</v>
      </c>
      <c r="BF76" s="547">
        <f t="shared" si="123"/>
        <v>5.1470757630822858E-2</v>
      </c>
      <c r="BG76" s="547">
        <f t="shared" si="124"/>
        <v>4.3749999999999995E-3</v>
      </c>
      <c r="BH76" s="547">
        <f t="shared" si="125"/>
        <v>2.7700251250000002E-2</v>
      </c>
      <c r="BI76">
        <f t="shared" si="126"/>
        <v>6.96E-3</v>
      </c>
      <c r="BJ76" s="473">
        <f t="shared" si="144"/>
        <v>96.33404322981157</v>
      </c>
      <c r="BK76" s="180">
        <f t="shared" si="127"/>
        <v>2.4849999999999997E-2</v>
      </c>
      <c r="BL76" s="180">
        <f t="shared" si="128"/>
        <v>2.4849999999999997E-2</v>
      </c>
      <c r="BM76" s="547"/>
      <c r="BO76" s="473">
        <f t="shared" si="145"/>
        <v>49.699999999999996</v>
      </c>
      <c r="BP76" s="547">
        <f t="shared" si="129"/>
        <v>1.8316679382535991E-3</v>
      </c>
      <c r="BQ76" s="547">
        <f t="shared" si="130"/>
        <v>4.3751380767203981E-4</v>
      </c>
      <c r="BR76" s="547">
        <f t="shared" si="131"/>
        <v>3.9218348900221312E-4</v>
      </c>
      <c r="BS76" s="547">
        <f t="shared" si="132"/>
        <v>1.133539432842986E-2</v>
      </c>
      <c r="BT76" s="657">
        <f t="shared" si="133"/>
        <v>5.499272727272727E-2</v>
      </c>
      <c r="BU76" s="473">
        <f t="shared" si="146"/>
        <v>68.989486836084978</v>
      </c>
      <c r="BV76" s="180">
        <f t="shared" si="147"/>
        <v>0.21502353006589656</v>
      </c>
      <c r="BW76" s="5">
        <f t="shared" si="148"/>
        <v>1.5122999999999998</v>
      </c>
      <c r="BX76" s="180">
        <f t="shared" si="149"/>
        <v>0.87551635445057974</v>
      </c>
      <c r="BY76" s="5">
        <f t="shared" si="150"/>
        <v>87.551635445057968</v>
      </c>
      <c r="BZ76">
        <f t="shared" si="151"/>
        <v>70.999999999999986</v>
      </c>
      <c r="CB76" s="582">
        <f t="shared" si="134"/>
        <v>-50</v>
      </c>
      <c r="CC76">
        <f t="shared" si="135"/>
        <v>-50</v>
      </c>
    </row>
    <row r="77" spans="5:81" x14ac:dyDescent="0.25">
      <c r="E77" s="177">
        <v>72</v>
      </c>
      <c r="F77" s="224">
        <f t="shared" si="152"/>
        <v>7.1999999999999995E-2</v>
      </c>
      <c r="G77" s="224">
        <f t="shared" si="136"/>
        <v>7.1999999999999995E-2</v>
      </c>
      <c r="H77" s="224">
        <f t="shared" si="91"/>
        <v>0.45359999999999995</v>
      </c>
      <c r="I77" s="224">
        <f t="shared" si="153"/>
        <v>1.0799999999999998</v>
      </c>
      <c r="J77" s="560">
        <f t="shared" si="92"/>
        <v>24</v>
      </c>
      <c r="K77" s="455">
        <f t="shared" si="93"/>
        <v>13.1</v>
      </c>
      <c r="L77" s="455">
        <f t="shared" si="94"/>
        <v>37.1</v>
      </c>
      <c r="M77" s="455"/>
      <c r="N77" s="224">
        <f t="shared" si="95"/>
        <v>0.35309973045822102</v>
      </c>
      <c r="O77" s="179">
        <f t="shared" si="137"/>
        <v>1.6354982726547966</v>
      </c>
      <c r="P77" s="179">
        <f t="shared" si="96"/>
        <v>3.8940435063209446</v>
      </c>
      <c r="Q77" s="224">
        <f t="shared" si="97"/>
        <v>0.25960290042139628</v>
      </c>
      <c r="R77" s="224">
        <f t="shared" si="98"/>
        <v>0.10903321817698644</v>
      </c>
      <c r="S77" s="455">
        <f t="shared" si="99"/>
        <v>6.3</v>
      </c>
      <c r="T77" s="224">
        <f t="shared" si="100"/>
        <v>0.40215267175572511</v>
      </c>
      <c r="U77" s="224">
        <f t="shared" si="101"/>
        <v>0.92159987277353683</v>
      </c>
      <c r="V77" s="224">
        <f t="shared" si="102"/>
        <v>1.6884272478293805</v>
      </c>
      <c r="W77" s="204">
        <f t="shared" si="103"/>
        <v>350</v>
      </c>
      <c r="X77" s="455">
        <f t="shared" si="138"/>
        <v>350</v>
      </c>
      <c r="Z77" s="224">
        <f t="shared" si="104"/>
        <v>0.44022823537648331</v>
      </c>
      <c r="AA77" s="180">
        <f t="shared" si="105"/>
        <v>1.8482864844050828</v>
      </c>
      <c r="AB77" s="180">
        <f t="shared" si="106"/>
        <v>8.4231817558083441E-2</v>
      </c>
      <c r="AC77" s="180"/>
      <c r="AD77" s="180">
        <f t="shared" si="107"/>
        <v>1.217557251908397</v>
      </c>
      <c r="AE77" s="564">
        <f t="shared" si="108"/>
        <v>689.42044875457464</v>
      </c>
      <c r="AF77" s="547">
        <f t="shared" si="109"/>
        <v>3.6552440597785188E-2</v>
      </c>
      <c r="AH77" s="180">
        <f t="shared" si="110"/>
        <v>0.39916796581773056</v>
      </c>
      <c r="AI77" s="180">
        <f t="shared" si="111"/>
        <v>0.39916796581773056</v>
      </c>
      <c r="AJ77" s="180">
        <f t="shared" si="112"/>
        <v>1.2808651598649856</v>
      </c>
      <c r="AL77" s="564">
        <f t="shared" si="113"/>
        <v>72</v>
      </c>
      <c r="AM77" s="473">
        <f t="shared" si="114"/>
        <v>350</v>
      </c>
      <c r="AO77">
        <f t="shared" si="139"/>
        <v>72</v>
      </c>
      <c r="AP77">
        <f t="shared" si="115"/>
        <v>350</v>
      </c>
      <c r="AR77" s="5">
        <f t="shared" si="140"/>
        <v>2.8571428571428572</v>
      </c>
      <c r="AS77" s="5">
        <f t="shared" si="116"/>
        <v>0.91475992166563258</v>
      </c>
      <c r="AT77" s="5">
        <f t="shared" si="141"/>
        <v>1.9423829354772246</v>
      </c>
      <c r="AU77" s="180">
        <f t="shared" si="142"/>
        <v>0.32016597258297141</v>
      </c>
      <c r="AW77" s="5">
        <f t="shared" si="117"/>
        <v>1.0454399104750085</v>
      </c>
      <c r="AX77" s="5">
        <f t="shared" si="118"/>
        <v>0.43908476239950356</v>
      </c>
      <c r="AY77" s="5">
        <f t="shared" si="119"/>
        <v>3.3991701370851418E-2</v>
      </c>
      <c r="AZ77" s="5"/>
      <c r="BA77" s="180">
        <f t="shared" si="143"/>
        <v>0.13040151588012819</v>
      </c>
      <c r="BB77" s="180">
        <f t="shared" si="120"/>
        <v>0.11240546960165378</v>
      </c>
      <c r="BC77" s="180">
        <f t="shared" si="121"/>
        <v>0.11495016797671073</v>
      </c>
      <c r="BD77" s="180"/>
      <c r="BE77" s="547">
        <f t="shared" si="122"/>
        <v>5.9515943703423628E-3</v>
      </c>
      <c r="BF77" s="547">
        <f t="shared" si="123"/>
        <v>5.1831960361432325E-2</v>
      </c>
      <c r="BG77" s="547">
        <f t="shared" si="124"/>
        <v>4.3749999999999995E-3</v>
      </c>
      <c r="BH77" s="547">
        <f t="shared" si="125"/>
        <v>2.7700251250000002E-2</v>
      </c>
      <c r="BI77">
        <f t="shared" si="126"/>
        <v>6.96E-3</v>
      </c>
      <c r="BJ77" s="473">
        <f t="shared" si="144"/>
        <v>96.818805981774688</v>
      </c>
      <c r="BK77" s="180">
        <f t="shared" si="127"/>
        <v>2.5199999999999997E-2</v>
      </c>
      <c r="BL77" s="180">
        <f t="shared" si="128"/>
        <v>2.5199999999999997E-2</v>
      </c>
      <c r="BM77" s="547"/>
      <c r="BO77" s="473">
        <f t="shared" si="145"/>
        <v>50.399999999999991</v>
      </c>
      <c r="BP77" s="547">
        <f t="shared" si="129"/>
        <v>1.8705010878218855E-3</v>
      </c>
      <c r="BQ77" s="547">
        <f t="shared" si="130"/>
        <v>4.4222463587289092E-4</v>
      </c>
      <c r="BR77" s="547">
        <f t="shared" si="131"/>
        <v>3.9640623353622039E-4</v>
      </c>
      <c r="BS77" s="547">
        <f t="shared" si="132"/>
        <v>1.1535311250406305E-2</v>
      </c>
      <c r="BT77" s="657">
        <f t="shared" si="133"/>
        <v>5.5767272727272728E-2</v>
      </c>
      <c r="BU77" s="473">
        <f t="shared" si="146"/>
        <v>70.011715934910029</v>
      </c>
      <c r="BV77" s="180">
        <f t="shared" si="147"/>
        <v>0.21723052191668471</v>
      </c>
      <c r="BW77" s="5">
        <f t="shared" si="148"/>
        <v>1.5335999999999999</v>
      </c>
      <c r="BX77" s="180">
        <f t="shared" si="149"/>
        <v>0.87592715617107453</v>
      </c>
      <c r="BY77" s="5">
        <f t="shared" si="150"/>
        <v>87.592715617107459</v>
      </c>
      <c r="BZ77">
        <f t="shared" si="151"/>
        <v>71.999999999999986</v>
      </c>
      <c r="CB77" s="582">
        <f t="shared" si="134"/>
        <v>-50</v>
      </c>
      <c r="CC77">
        <f t="shared" si="135"/>
        <v>-50</v>
      </c>
    </row>
    <row r="78" spans="5:81" x14ac:dyDescent="0.25">
      <c r="E78" s="177">
        <v>73</v>
      </c>
      <c r="F78" s="224">
        <f t="shared" si="152"/>
        <v>7.2999999999999995E-2</v>
      </c>
      <c r="G78" s="224">
        <f t="shared" si="136"/>
        <v>7.2999999999999995E-2</v>
      </c>
      <c r="H78" s="224">
        <f t="shared" si="91"/>
        <v>0.45989999999999998</v>
      </c>
      <c r="I78" s="224">
        <f t="shared" si="153"/>
        <v>1.095</v>
      </c>
      <c r="J78" s="560">
        <f t="shared" si="92"/>
        <v>24</v>
      </c>
      <c r="K78" s="455">
        <f t="shared" si="93"/>
        <v>13.1</v>
      </c>
      <c r="L78" s="455">
        <f t="shared" si="94"/>
        <v>37.1</v>
      </c>
      <c r="M78" s="455"/>
      <c r="N78" s="224">
        <f t="shared" si="95"/>
        <v>0.35309973045822102</v>
      </c>
      <c r="O78" s="179">
        <f t="shared" si="137"/>
        <v>1.6354982726547966</v>
      </c>
      <c r="P78" s="179">
        <f t="shared" si="96"/>
        <v>3.8940435063209446</v>
      </c>
      <c r="Q78" s="224">
        <f t="shared" si="97"/>
        <v>0.25960290042139628</v>
      </c>
      <c r="R78" s="224">
        <f t="shared" si="98"/>
        <v>0.10903321817698644</v>
      </c>
      <c r="S78" s="455">
        <f t="shared" si="99"/>
        <v>6.3</v>
      </c>
      <c r="T78" s="224">
        <f t="shared" si="100"/>
        <v>0.40773812553011024</v>
      </c>
      <c r="U78" s="224">
        <f t="shared" si="101"/>
        <v>0.93439987100650268</v>
      </c>
      <c r="V78" s="224">
        <f t="shared" si="102"/>
        <v>1.7118776262714552</v>
      </c>
      <c r="W78" s="204">
        <f t="shared" si="103"/>
        <v>350</v>
      </c>
      <c r="X78" s="455">
        <f t="shared" si="138"/>
        <v>350</v>
      </c>
      <c r="Z78" s="224">
        <f t="shared" si="104"/>
        <v>0.44022823537648331</v>
      </c>
      <c r="AA78" s="180">
        <f t="shared" si="105"/>
        <v>1.8482864844050828</v>
      </c>
      <c r="AB78" s="180">
        <f t="shared" si="106"/>
        <v>8.4231817558083441E-2</v>
      </c>
      <c r="AC78" s="180"/>
      <c r="AD78" s="180">
        <f t="shared" si="107"/>
        <v>1.217557251908397</v>
      </c>
      <c r="AE78" s="564">
        <f t="shared" si="108"/>
        <v>698.99573276505487</v>
      </c>
      <c r="AF78" s="547">
        <f t="shared" si="109"/>
        <v>3.6552440597785188E-2</v>
      </c>
      <c r="AH78" s="180">
        <f t="shared" si="110"/>
        <v>0.40193040684682213</v>
      </c>
      <c r="AI78" s="180">
        <f t="shared" si="111"/>
        <v>0.40193040684682213</v>
      </c>
      <c r="AJ78" s="180">
        <f t="shared" si="112"/>
        <v>1.2829114124791274</v>
      </c>
      <c r="AL78" s="564">
        <f t="shared" si="113"/>
        <v>73</v>
      </c>
      <c r="AM78" s="473">
        <f t="shared" si="114"/>
        <v>350</v>
      </c>
      <c r="AO78">
        <f t="shared" si="139"/>
        <v>73</v>
      </c>
      <c r="AP78">
        <f t="shared" si="115"/>
        <v>350</v>
      </c>
      <c r="AR78" s="5">
        <f t="shared" si="140"/>
        <v>2.8571428571428572</v>
      </c>
      <c r="AS78" s="5">
        <f t="shared" si="116"/>
        <v>0.92109051569063405</v>
      </c>
      <c r="AT78" s="5">
        <f t="shared" si="141"/>
        <v>1.936052341452223</v>
      </c>
      <c r="AU78" s="180">
        <f t="shared" si="142"/>
        <v>0.32238168049172189</v>
      </c>
      <c r="AW78" s="5">
        <f t="shared" si="117"/>
        <v>1.0672953594510521</v>
      </c>
      <c r="AX78" s="5">
        <f t="shared" si="118"/>
        <v>0.44826405096944189</v>
      </c>
      <c r="AY78" s="5">
        <f t="shared" si="119"/>
        <v>3.4351484252850201E-2</v>
      </c>
      <c r="AZ78" s="5"/>
      <c r="BA78" s="180">
        <f t="shared" si="143"/>
        <v>0.1317575203004582</v>
      </c>
      <c r="BB78" s="180">
        <f t="shared" si="120"/>
        <v>0.11299877785102426</v>
      </c>
      <c r="BC78" s="180">
        <f t="shared" si="121"/>
        <v>0.11555690787263216</v>
      </c>
      <c r="BD78" s="180"/>
      <c r="BE78" s="547">
        <f t="shared" si="122"/>
        <v>6.0760154545039793E-3</v>
      </c>
      <c r="BF78" s="547">
        <f t="shared" si="123"/>
        <v>5.2190663329059868E-2</v>
      </c>
      <c r="BG78" s="547">
        <f t="shared" si="124"/>
        <v>4.3749999999999995E-3</v>
      </c>
      <c r="BH78" s="547">
        <f t="shared" si="125"/>
        <v>2.7700251250000002E-2</v>
      </c>
      <c r="BI78">
        <f t="shared" si="126"/>
        <v>6.96E-3</v>
      </c>
      <c r="BJ78" s="473">
        <f t="shared" si="144"/>
        <v>97.301930033563835</v>
      </c>
      <c r="BK78" s="180">
        <f t="shared" si="127"/>
        <v>2.5549999999999996E-2</v>
      </c>
      <c r="BL78" s="180">
        <f t="shared" si="128"/>
        <v>2.5549999999999996E-2</v>
      </c>
      <c r="BM78" s="547"/>
      <c r="BO78" s="473">
        <f t="shared" si="145"/>
        <v>51.099999999999994</v>
      </c>
      <c r="BP78" s="547">
        <f t="shared" si="129"/>
        <v>1.9096048571298223E-3</v>
      </c>
      <c r="BQ78" s="547">
        <f t="shared" si="130"/>
        <v>4.469053328538796E-4</v>
      </c>
      <c r="BR78" s="547">
        <f t="shared" si="131"/>
        <v>4.0060196871251986E-4</v>
      </c>
      <c r="BS78" s="547">
        <f t="shared" si="132"/>
        <v>1.1735923554486645E-2</v>
      </c>
      <c r="BT78" s="657">
        <f t="shared" si="133"/>
        <v>5.6541818181818193E-2</v>
      </c>
      <c r="BU78" s="473">
        <f t="shared" si="146"/>
        <v>71.034853895001049</v>
      </c>
      <c r="BV78" s="180">
        <f t="shared" si="147"/>
        <v>0.21943678392856489</v>
      </c>
      <c r="BW78" s="5">
        <f t="shared" si="148"/>
        <v>1.5548999999999999</v>
      </c>
      <c r="BX78" s="180">
        <f t="shared" si="149"/>
        <v>0.87632743348604358</v>
      </c>
      <c r="BY78" s="5">
        <f t="shared" si="150"/>
        <v>87.632743348604365</v>
      </c>
      <c r="BZ78">
        <f t="shared" si="151"/>
        <v>72.999999999999986</v>
      </c>
      <c r="CB78" s="582">
        <f t="shared" si="134"/>
        <v>-50</v>
      </c>
      <c r="CC78">
        <f t="shared" si="135"/>
        <v>-50</v>
      </c>
    </row>
    <row r="79" spans="5:81" x14ac:dyDescent="0.25">
      <c r="E79" s="177">
        <v>74</v>
      </c>
      <c r="F79" s="224">
        <f t="shared" si="152"/>
        <v>7.3999999999999996E-2</v>
      </c>
      <c r="G79" s="224">
        <f t="shared" si="136"/>
        <v>7.3999999999999996E-2</v>
      </c>
      <c r="H79" s="224">
        <f t="shared" si="91"/>
        <v>0.46619999999999995</v>
      </c>
      <c r="I79" s="224">
        <f t="shared" si="153"/>
        <v>1.1099999999999999</v>
      </c>
      <c r="J79" s="560">
        <f t="shared" si="92"/>
        <v>24</v>
      </c>
      <c r="K79" s="455">
        <f t="shared" si="93"/>
        <v>13.1</v>
      </c>
      <c r="L79" s="455">
        <f t="shared" si="94"/>
        <v>37.1</v>
      </c>
      <c r="M79" s="455"/>
      <c r="N79" s="224">
        <f t="shared" si="95"/>
        <v>0.35309973045822102</v>
      </c>
      <c r="O79" s="179">
        <f t="shared" si="137"/>
        <v>1.6354982726547966</v>
      </c>
      <c r="P79" s="179">
        <f t="shared" si="96"/>
        <v>3.8940435063209446</v>
      </c>
      <c r="Q79" s="224">
        <f t="shared" si="97"/>
        <v>0.25960290042139628</v>
      </c>
      <c r="R79" s="224">
        <f t="shared" si="98"/>
        <v>0.10903321817698644</v>
      </c>
      <c r="S79" s="455">
        <f t="shared" si="99"/>
        <v>6.3</v>
      </c>
      <c r="T79" s="224">
        <f t="shared" si="100"/>
        <v>0.41332357930449526</v>
      </c>
      <c r="U79" s="224">
        <f t="shared" si="101"/>
        <v>0.94719986923946831</v>
      </c>
      <c r="V79" s="224">
        <f t="shared" si="102"/>
        <v>1.7353280047135298</v>
      </c>
      <c r="W79" s="204">
        <f t="shared" si="103"/>
        <v>350</v>
      </c>
      <c r="X79" s="455">
        <f t="shared" si="138"/>
        <v>350</v>
      </c>
      <c r="Z79" s="224">
        <f t="shared" si="104"/>
        <v>0.44022823537648331</v>
      </c>
      <c r="AA79" s="180">
        <f t="shared" si="105"/>
        <v>1.8482864844050828</v>
      </c>
      <c r="AB79" s="180">
        <f t="shared" si="106"/>
        <v>8.4231817558083441E-2</v>
      </c>
      <c r="AC79" s="180"/>
      <c r="AD79" s="180">
        <f t="shared" si="107"/>
        <v>1.217557251908397</v>
      </c>
      <c r="AE79" s="564">
        <f t="shared" si="108"/>
        <v>708.5710167755351</v>
      </c>
      <c r="AF79" s="547">
        <f t="shared" si="109"/>
        <v>3.6552440597785188E-2</v>
      </c>
      <c r="AH79" s="180">
        <f t="shared" si="110"/>
        <v>0.40467399096190865</v>
      </c>
      <c r="AI79" s="180">
        <f t="shared" si="111"/>
        <v>0.40467399096190865</v>
      </c>
      <c r="AJ79" s="180">
        <f t="shared" si="112"/>
        <v>1.2849436970088213</v>
      </c>
      <c r="AL79" s="564">
        <f t="shared" si="113"/>
        <v>74</v>
      </c>
      <c r="AM79" s="473">
        <f t="shared" si="114"/>
        <v>350</v>
      </c>
      <c r="AO79">
        <f t="shared" si="139"/>
        <v>74</v>
      </c>
      <c r="AP79">
        <f t="shared" si="115"/>
        <v>350</v>
      </c>
      <c r="AR79" s="5">
        <f t="shared" si="140"/>
        <v>2.8571428571428572</v>
      </c>
      <c r="AS79" s="5">
        <f t="shared" si="116"/>
        <v>0.92737789595437414</v>
      </c>
      <c r="AT79" s="5">
        <f t="shared" si="141"/>
        <v>1.9297649611884831</v>
      </c>
      <c r="AU79" s="180">
        <f t="shared" si="142"/>
        <v>0.32458226358403092</v>
      </c>
      <c r="AW79" s="5">
        <f t="shared" si="117"/>
        <v>1.0893010206448202</v>
      </c>
      <c r="AX79" s="5">
        <f t="shared" si="118"/>
        <v>0.45750642867082453</v>
      </c>
      <c r="AY79" s="5">
        <f t="shared" si="119"/>
        <v>3.4708967010265067E-2</v>
      </c>
      <c r="AZ79" s="5"/>
      <c r="BA79" s="180">
        <f t="shared" si="143"/>
        <v>0.13310888864991535</v>
      </c>
      <c r="BB79" s="180">
        <f t="shared" si="120"/>
        <v>0.11358522360069535</v>
      </c>
      <c r="BC79" s="180">
        <f t="shared" si="121"/>
        <v>0.11615662991171814</v>
      </c>
      <c r="BD79" s="180"/>
      <c r="BE79" s="547">
        <f t="shared" si="122"/>
        <v>6.2012916831654464E-3</v>
      </c>
      <c r="BF79" s="547">
        <f t="shared" si="123"/>
        <v>5.2546917726403838E-2</v>
      </c>
      <c r="BG79" s="547">
        <f t="shared" si="124"/>
        <v>4.3749999999999995E-3</v>
      </c>
      <c r="BH79" s="547">
        <f t="shared" si="125"/>
        <v>2.7700251250000002E-2</v>
      </c>
      <c r="BI79">
        <f t="shared" si="126"/>
        <v>6.96E-3</v>
      </c>
      <c r="BJ79" s="473">
        <f t="shared" si="144"/>
        <v>97.783460659569272</v>
      </c>
      <c r="BK79" s="180">
        <f t="shared" si="127"/>
        <v>2.5899999999999996E-2</v>
      </c>
      <c r="BL79" s="180">
        <f t="shared" si="128"/>
        <v>2.5899999999999996E-2</v>
      </c>
      <c r="BM79" s="547"/>
      <c r="BO79" s="473">
        <f t="shared" si="145"/>
        <v>51.79999999999999</v>
      </c>
      <c r="BP79" s="547">
        <f t="shared" si="129"/>
        <v>1.9489773861377118E-3</v>
      </c>
      <c r="BQ79" s="547">
        <f t="shared" si="130"/>
        <v>4.5155610571469864E-4</v>
      </c>
      <c r="BR79" s="547">
        <f t="shared" si="131"/>
        <v>4.0477088017343559E-4</v>
      </c>
      <c r="BS79" s="547">
        <f t="shared" si="132"/>
        <v>1.1937224083635227E-2</v>
      </c>
      <c r="BT79" s="657">
        <f t="shared" si="133"/>
        <v>5.7316363636363624E-2</v>
      </c>
      <c r="BU79" s="473">
        <f t="shared" si="146"/>
        <v>72.058892092024692</v>
      </c>
      <c r="BV79" s="180">
        <f t="shared" si="147"/>
        <v>0.221642352751594</v>
      </c>
      <c r="BW79" s="5">
        <f t="shared" si="148"/>
        <v>1.5761999999999998</v>
      </c>
      <c r="BX79" s="180">
        <f t="shared" si="149"/>
        <v>0.87671758182113635</v>
      </c>
      <c r="BY79" s="5">
        <f t="shared" si="150"/>
        <v>87.671758182113635</v>
      </c>
      <c r="BZ79">
        <f t="shared" si="151"/>
        <v>73.999999999999986</v>
      </c>
      <c r="CB79" s="582">
        <f t="shared" si="134"/>
        <v>-50</v>
      </c>
      <c r="CC79">
        <f t="shared" si="135"/>
        <v>-50</v>
      </c>
    </row>
    <row r="80" spans="5:81" x14ac:dyDescent="0.25">
      <c r="E80" s="177">
        <v>75</v>
      </c>
      <c r="F80" s="224">
        <f t="shared" si="152"/>
        <v>7.5000000000000011E-2</v>
      </c>
      <c r="G80" s="224">
        <f t="shared" si="136"/>
        <v>7.5000000000000011E-2</v>
      </c>
      <c r="H80" s="224">
        <f t="shared" si="91"/>
        <v>0.47250000000000003</v>
      </c>
      <c r="I80" s="224">
        <f t="shared" si="153"/>
        <v>1.1250000000000002</v>
      </c>
      <c r="J80" s="560">
        <f t="shared" si="92"/>
        <v>24</v>
      </c>
      <c r="K80" s="455">
        <f t="shared" si="93"/>
        <v>13.1</v>
      </c>
      <c r="L80" s="455">
        <f t="shared" si="94"/>
        <v>37.1</v>
      </c>
      <c r="M80" s="455"/>
      <c r="N80" s="224">
        <f t="shared" si="95"/>
        <v>0.35309973045822102</v>
      </c>
      <c r="O80" s="179">
        <f t="shared" si="137"/>
        <v>1.6354982726547966</v>
      </c>
      <c r="P80" s="179">
        <f t="shared" si="96"/>
        <v>3.8940435063209446</v>
      </c>
      <c r="Q80" s="224">
        <f t="shared" si="97"/>
        <v>0.25960290042139628</v>
      </c>
      <c r="R80" s="224">
        <f t="shared" si="98"/>
        <v>0.10903321817698644</v>
      </c>
      <c r="S80" s="455">
        <f t="shared" si="99"/>
        <v>6.3</v>
      </c>
      <c r="T80" s="224">
        <f t="shared" si="100"/>
        <v>0.41890903307888044</v>
      </c>
      <c r="U80" s="224">
        <f t="shared" si="101"/>
        <v>0.95999986747243427</v>
      </c>
      <c r="V80" s="224">
        <f t="shared" si="102"/>
        <v>1.758778383155605</v>
      </c>
      <c r="W80" s="204">
        <f t="shared" si="103"/>
        <v>350</v>
      </c>
      <c r="X80" s="455">
        <f t="shared" si="138"/>
        <v>350</v>
      </c>
      <c r="Z80" s="224">
        <f t="shared" si="104"/>
        <v>0.44022823537648331</v>
      </c>
      <c r="AA80" s="180">
        <f t="shared" si="105"/>
        <v>1.8482864844050828</v>
      </c>
      <c r="AB80" s="180">
        <f t="shared" si="106"/>
        <v>8.4231817558083441E-2</v>
      </c>
      <c r="AC80" s="180"/>
      <c r="AD80" s="180">
        <f t="shared" si="107"/>
        <v>1.217557251908397</v>
      </c>
      <c r="AE80" s="564">
        <f t="shared" si="108"/>
        <v>718.14630078601533</v>
      </c>
      <c r="AF80" s="547">
        <f t="shared" si="109"/>
        <v>3.6552440597785188E-2</v>
      </c>
      <c r="AH80" s="180">
        <f t="shared" si="110"/>
        <v>0.40739909913256556</v>
      </c>
      <c r="AI80" s="180">
        <f t="shared" si="111"/>
        <v>0.40739909913256556</v>
      </c>
      <c r="AJ80" s="180">
        <f t="shared" si="112"/>
        <v>1.2869622956537523</v>
      </c>
      <c r="AL80" s="564">
        <f t="shared" si="113"/>
        <v>75.000000000000014</v>
      </c>
      <c r="AM80" s="473">
        <f t="shared" si="114"/>
        <v>350</v>
      </c>
      <c r="AO80">
        <f t="shared" si="139"/>
        <v>75.000000000000014</v>
      </c>
      <c r="AP80">
        <f t="shared" si="115"/>
        <v>350</v>
      </c>
      <c r="AR80" s="5">
        <f t="shared" si="140"/>
        <v>2.8571428571428572</v>
      </c>
      <c r="AS80" s="5">
        <f t="shared" si="116"/>
        <v>0.93362293551212938</v>
      </c>
      <c r="AT80" s="5">
        <f t="shared" si="141"/>
        <v>1.9235199216307279</v>
      </c>
      <c r="AU80" s="180">
        <f t="shared" si="142"/>
        <v>0.32676802742924527</v>
      </c>
      <c r="AW80" s="5">
        <f t="shared" si="117"/>
        <v>1.111455875609678</v>
      </c>
      <c r="AX80" s="5">
        <f t="shared" si="118"/>
        <v>0.46681146775606475</v>
      </c>
      <c r="AY80" s="5">
        <f t="shared" si="119"/>
        <v>3.5064165238060142E-2</v>
      </c>
      <c r="AZ80" s="5"/>
      <c r="BA80" s="180">
        <f t="shared" si="143"/>
        <v>0.13445569911315619</v>
      </c>
      <c r="BB80" s="180">
        <f t="shared" si="120"/>
        <v>0.11416493799291785</v>
      </c>
      <c r="BC80" s="180">
        <f t="shared" si="121"/>
        <v>0.11674946820509163</v>
      </c>
      <c r="BD80" s="180"/>
      <c r="BE80" s="547">
        <f t="shared" si="122"/>
        <v>6.327417258402657E-3</v>
      </c>
      <c r="BF80" s="547">
        <f t="shared" si="123"/>
        <v>5.2900773022363637E-2</v>
      </c>
      <c r="BG80" s="547">
        <f t="shared" si="124"/>
        <v>4.3749999999999995E-3</v>
      </c>
      <c r="BH80" s="547">
        <f t="shared" si="125"/>
        <v>2.7700251250000002E-2</v>
      </c>
      <c r="BI80">
        <f t="shared" si="126"/>
        <v>6.96E-3</v>
      </c>
      <c r="BJ80" s="473">
        <f t="shared" si="144"/>
        <v>98.263441530766286</v>
      </c>
      <c r="BK80" s="180">
        <f t="shared" si="127"/>
        <v>2.6250000000000002E-2</v>
      </c>
      <c r="BL80" s="180">
        <f t="shared" si="128"/>
        <v>2.6250000000000002E-2</v>
      </c>
      <c r="BM80" s="547"/>
      <c r="BO80" s="473">
        <f t="shared" si="145"/>
        <v>52.500000000000007</v>
      </c>
      <c r="BP80" s="547">
        <f t="shared" si="129"/>
        <v>1.988616852640835E-3</v>
      </c>
      <c r="BQ80" s="547">
        <f t="shared" si="130"/>
        <v>4.5617715734243725E-4</v>
      </c>
      <c r="BR80" s="547">
        <f t="shared" si="131"/>
        <v>4.0891314978515103E-4</v>
      </c>
      <c r="BS80" s="547">
        <f t="shared" si="132"/>
        <v>1.2139205850373246E-2</v>
      </c>
      <c r="BT80" s="657">
        <f t="shared" si="133"/>
        <v>5.8090909090909096E-2</v>
      </c>
      <c r="BU80" s="473">
        <f t="shared" si="146"/>
        <v>73.083822101050771</v>
      </c>
      <c r="BV80" s="180">
        <f t="shared" si="147"/>
        <v>0.22384726363181706</v>
      </c>
      <c r="BW80" s="5">
        <f t="shared" si="148"/>
        <v>1.5975000000000001</v>
      </c>
      <c r="BX80" s="180">
        <f t="shared" si="149"/>
        <v>0.87709797681005697</v>
      </c>
      <c r="BY80" s="5">
        <f t="shared" si="150"/>
        <v>87.709797681005696</v>
      </c>
      <c r="BZ80">
        <f t="shared" si="151"/>
        <v>75.000000000000014</v>
      </c>
      <c r="CB80" s="582">
        <f t="shared" si="134"/>
        <v>-50</v>
      </c>
      <c r="CC80">
        <f t="shared" si="135"/>
        <v>-50</v>
      </c>
    </row>
    <row r="81" spans="5:81" x14ac:dyDescent="0.25">
      <c r="E81" s="177">
        <v>76</v>
      </c>
      <c r="F81" s="224">
        <f t="shared" si="152"/>
        <v>7.6000000000000012E-2</v>
      </c>
      <c r="G81" s="224">
        <f t="shared" si="136"/>
        <v>7.6000000000000012E-2</v>
      </c>
      <c r="H81" s="224">
        <f t="shared" si="91"/>
        <v>0.47880000000000006</v>
      </c>
      <c r="I81" s="224">
        <f t="shared" si="153"/>
        <v>1.1400000000000001</v>
      </c>
      <c r="J81" s="560">
        <f t="shared" si="92"/>
        <v>24</v>
      </c>
      <c r="K81" s="455">
        <f t="shared" si="93"/>
        <v>13.1</v>
      </c>
      <c r="L81" s="455">
        <f t="shared" si="94"/>
        <v>37.1</v>
      </c>
      <c r="M81" s="455"/>
      <c r="N81" s="224">
        <f t="shared" si="95"/>
        <v>0.35309973045822102</v>
      </c>
      <c r="O81" s="179">
        <f t="shared" si="137"/>
        <v>1.6354982726547966</v>
      </c>
      <c r="P81" s="179">
        <f t="shared" si="96"/>
        <v>3.8940435063209446</v>
      </c>
      <c r="Q81" s="224">
        <f t="shared" si="97"/>
        <v>0.25960290042139628</v>
      </c>
      <c r="R81" s="224">
        <f t="shared" si="98"/>
        <v>0.10903321817698644</v>
      </c>
      <c r="S81" s="455">
        <f t="shared" si="99"/>
        <v>6.3</v>
      </c>
      <c r="T81" s="224">
        <f t="shared" si="100"/>
        <v>0.42449448685326552</v>
      </c>
      <c r="U81" s="224">
        <f t="shared" si="101"/>
        <v>0.97279986570540022</v>
      </c>
      <c r="V81" s="224">
        <f t="shared" si="102"/>
        <v>1.78222876159768</v>
      </c>
      <c r="W81" s="204">
        <f t="shared" si="103"/>
        <v>350</v>
      </c>
      <c r="X81" s="455">
        <f t="shared" si="138"/>
        <v>350</v>
      </c>
      <c r="Z81" s="224">
        <f t="shared" si="104"/>
        <v>0.44022823537648331</v>
      </c>
      <c r="AA81" s="180">
        <f t="shared" si="105"/>
        <v>1.8482864844050828</v>
      </c>
      <c r="AB81" s="180">
        <f t="shared" si="106"/>
        <v>8.4231817558083441E-2</v>
      </c>
      <c r="AC81" s="180"/>
      <c r="AD81" s="180">
        <f t="shared" si="107"/>
        <v>1.217557251908397</v>
      </c>
      <c r="AE81" s="564">
        <f t="shared" si="108"/>
        <v>727.72158479649556</v>
      </c>
      <c r="AF81" s="547">
        <f t="shared" si="109"/>
        <v>3.6552440597785188E-2</v>
      </c>
      <c r="AH81" s="180">
        <f t="shared" si="110"/>
        <v>0.41010609967057676</v>
      </c>
      <c r="AI81" s="180">
        <f t="shared" si="111"/>
        <v>0.41010609967057676</v>
      </c>
      <c r="AJ81" s="180">
        <f t="shared" si="112"/>
        <v>1.2889674812374643</v>
      </c>
      <c r="AL81" s="564">
        <f t="shared" si="113"/>
        <v>76.000000000000014</v>
      </c>
      <c r="AM81" s="473">
        <f t="shared" si="114"/>
        <v>350</v>
      </c>
      <c r="AO81">
        <f t="shared" si="139"/>
        <v>76.000000000000014</v>
      </c>
      <c r="AP81">
        <f t="shared" si="115"/>
        <v>350</v>
      </c>
      <c r="AR81" s="5">
        <f t="shared" si="140"/>
        <v>2.8571428571428572</v>
      </c>
      <c r="AS81" s="5">
        <f t="shared" si="116"/>
        <v>0.9398264784117385</v>
      </c>
      <c r="AT81" s="5">
        <f t="shared" si="141"/>
        <v>1.9173163787311187</v>
      </c>
      <c r="AU81" s="180">
        <f t="shared" si="142"/>
        <v>0.32893926744410845</v>
      </c>
      <c r="AW81" s="5">
        <f t="shared" si="117"/>
        <v>1.1337589263379706</v>
      </c>
      <c r="AX81" s="5">
        <f t="shared" si="118"/>
        <v>0.47617874906194763</v>
      </c>
      <c r="AY81" s="5">
        <f t="shared" si="119"/>
        <v>3.5417094218227606E-2</v>
      </c>
      <c r="AZ81" s="5"/>
      <c r="BA81" s="180">
        <f t="shared" si="143"/>
        <v>0.13579802753300069</v>
      </c>
      <c r="BB81" s="180">
        <f t="shared" si="120"/>
        <v>0.11473804781233354</v>
      </c>
      <c r="BC81" s="180">
        <f t="shared" si="121"/>
        <v>0.11733555240761667</v>
      </c>
      <c r="BD81" s="180"/>
      <c r="BE81" s="547">
        <f t="shared" si="122"/>
        <v>6.4543864986487641E-3</v>
      </c>
      <c r="BF81" s="547">
        <f t="shared" si="123"/>
        <v>5.3252277042224398E-2</v>
      </c>
      <c r="BG81" s="547">
        <f t="shared" si="124"/>
        <v>4.3749999999999995E-3</v>
      </c>
      <c r="BH81" s="547">
        <f t="shared" si="125"/>
        <v>2.7700251250000002E-2</v>
      </c>
      <c r="BI81">
        <f t="shared" si="126"/>
        <v>6.96E-3</v>
      </c>
      <c r="BJ81" s="473">
        <f t="shared" si="144"/>
        <v>98.741914790873153</v>
      </c>
      <c r="BK81" s="180">
        <f t="shared" si="127"/>
        <v>2.6600000000000002E-2</v>
      </c>
      <c r="BL81" s="180">
        <f t="shared" si="128"/>
        <v>2.6600000000000002E-2</v>
      </c>
      <c r="BM81" s="547"/>
      <c r="BO81" s="473">
        <f t="shared" si="145"/>
        <v>53.2</v>
      </c>
      <c r="BP81" s="547">
        <f t="shared" si="129"/>
        <v>2.0285214710038975E-3</v>
      </c>
      <c r="BQ81" s="547">
        <f t="shared" si="130"/>
        <v>4.6076868655248692E-4</v>
      </c>
      <c r="BR81" s="547">
        <f t="shared" si="131"/>
        <v>4.1302895576401678E-4</v>
      </c>
      <c r="BS81" s="547">
        <f t="shared" si="132"/>
        <v>1.234186203055042E-2</v>
      </c>
      <c r="BT81" s="657">
        <f t="shared" si="133"/>
        <v>5.8865454545454575E-2</v>
      </c>
      <c r="BU81" s="473">
        <f t="shared" si="146"/>
        <v>74.109635689325401</v>
      </c>
      <c r="BV81" s="180">
        <f t="shared" si="147"/>
        <v>0.22605155048019859</v>
      </c>
      <c r="BW81" s="5">
        <f t="shared" si="148"/>
        <v>1.6188000000000002</v>
      </c>
      <c r="BX81" s="180">
        <f t="shared" si="149"/>
        <v>0.87746897552740255</v>
      </c>
      <c r="BY81" s="5">
        <f t="shared" si="150"/>
        <v>87.746897552740251</v>
      </c>
      <c r="BZ81">
        <f t="shared" si="151"/>
        <v>76.000000000000014</v>
      </c>
      <c r="CB81" s="582">
        <f t="shared" si="134"/>
        <v>-50</v>
      </c>
      <c r="CC81">
        <f t="shared" si="135"/>
        <v>-50</v>
      </c>
    </row>
    <row r="82" spans="5:81" x14ac:dyDescent="0.25">
      <c r="E82" s="177">
        <v>77</v>
      </c>
      <c r="F82" s="224">
        <f t="shared" si="152"/>
        <v>7.7000000000000013E-2</v>
      </c>
      <c r="G82" s="224">
        <f t="shared" si="136"/>
        <v>7.7000000000000013E-2</v>
      </c>
      <c r="H82" s="224">
        <f t="shared" si="91"/>
        <v>0.48510000000000009</v>
      </c>
      <c r="I82" s="224">
        <f t="shared" si="153"/>
        <v>1.1550000000000002</v>
      </c>
      <c r="J82" s="560">
        <f t="shared" si="92"/>
        <v>24</v>
      </c>
      <c r="K82" s="455">
        <f t="shared" si="93"/>
        <v>13.1</v>
      </c>
      <c r="L82" s="455">
        <f t="shared" si="94"/>
        <v>37.1</v>
      </c>
      <c r="M82" s="455"/>
      <c r="N82" s="224">
        <f t="shared" si="95"/>
        <v>0.35309973045822102</v>
      </c>
      <c r="O82" s="179">
        <f t="shared" si="137"/>
        <v>1.6354982726547966</v>
      </c>
      <c r="P82" s="179">
        <f t="shared" si="96"/>
        <v>3.8940435063209446</v>
      </c>
      <c r="Q82" s="224">
        <f t="shared" si="97"/>
        <v>0.25960290042139628</v>
      </c>
      <c r="R82" s="224">
        <f t="shared" si="98"/>
        <v>0.10903321817698644</v>
      </c>
      <c r="S82" s="455">
        <f t="shared" si="99"/>
        <v>6.3</v>
      </c>
      <c r="T82" s="224">
        <f t="shared" si="100"/>
        <v>0.43007994062765065</v>
      </c>
      <c r="U82" s="224">
        <f t="shared" si="101"/>
        <v>0.98559986393836618</v>
      </c>
      <c r="V82" s="224">
        <f t="shared" si="102"/>
        <v>1.8056791400397547</v>
      </c>
      <c r="W82" s="204">
        <f t="shared" si="103"/>
        <v>350</v>
      </c>
      <c r="X82" s="455">
        <f t="shared" si="138"/>
        <v>350</v>
      </c>
      <c r="Z82" s="224">
        <f t="shared" si="104"/>
        <v>0.44022823537648331</v>
      </c>
      <c r="AA82" s="180">
        <f t="shared" si="105"/>
        <v>1.8482864844050828</v>
      </c>
      <c r="AB82" s="180">
        <f t="shared" si="106"/>
        <v>8.4231817558083441E-2</v>
      </c>
      <c r="AC82" s="180"/>
      <c r="AD82" s="180">
        <f t="shared" si="107"/>
        <v>1.217557251908397</v>
      </c>
      <c r="AE82" s="564">
        <f t="shared" si="108"/>
        <v>737.29686880697579</v>
      </c>
      <c r="AF82" s="547">
        <f t="shared" si="109"/>
        <v>3.6552440597785188E-2</v>
      </c>
      <c r="AH82" s="180">
        <f t="shared" si="110"/>
        <v>0.41279534881100588</v>
      </c>
      <c r="AI82" s="180">
        <f t="shared" si="111"/>
        <v>0.41279534881100588</v>
      </c>
      <c r="AJ82" s="180">
        <f t="shared" si="112"/>
        <v>1.2909595176377822</v>
      </c>
      <c r="AL82" s="564">
        <f t="shared" si="113"/>
        <v>77.000000000000014</v>
      </c>
      <c r="AM82" s="473">
        <f t="shared" si="114"/>
        <v>350</v>
      </c>
      <c r="AO82">
        <f t="shared" si="139"/>
        <v>77.000000000000014</v>
      </c>
      <c r="AP82">
        <f t="shared" si="115"/>
        <v>350</v>
      </c>
      <c r="AR82" s="5">
        <f t="shared" si="140"/>
        <v>2.8571428571428572</v>
      </c>
      <c r="AS82" s="5">
        <f t="shared" si="116"/>
        <v>0.94598934102522181</v>
      </c>
      <c r="AT82" s="5">
        <f t="shared" si="141"/>
        <v>1.9111535161176354</v>
      </c>
      <c r="AU82" s="180">
        <f t="shared" si="142"/>
        <v>0.33109626935882763</v>
      </c>
      <c r="AW82" s="5">
        <f t="shared" si="117"/>
        <v>1.1562091945863824</v>
      </c>
      <c r="AX82" s="5">
        <f t="shared" si="118"/>
        <v>0.48560786172628068</v>
      </c>
      <c r="AY82" s="5">
        <f t="shared" si="119"/>
        <v>3.5767768930118238E-2</v>
      </c>
      <c r="AZ82" s="5"/>
      <c r="BA82" s="180">
        <f t="shared" si="143"/>
        <v>0.13713594751042271</v>
      </c>
      <c r="BB82" s="180">
        <f t="shared" si="120"/>
        <v>0.11530467568551225</v>
      </c>
      <c r="BC82" s="180">
        <f t="shared" si="121"/>
        <v>0.11791500792195242</v>
      </c>
      <c r="BD82" s="180"/>
      <c r="BE82" s="547">
        <f t="shared" si="122"/>
        <v>6.5821938348534946E-3</v>
      </c>
      <c r="BF82" s="547">
        <f t="shared" si="123"/>
        <v>5.3601476043109116E-2</v>
      </c>
      <c r="BG82" s="547">
        <f t="shared" si="124"/>
        <v>4.3749999999999995E-3</v>
      </c>
      <c r="BH82" s="547">
        <f t="shared" si="125"/>
        <v>2.7700251250000002E-2</v>
      </c>
      <c r="BI82">
        <f t="shared" si="126"/>
        <v>6.96E-3</v>
      </c>
      <c r="BJ82" s="473">
        <f t="shared" si="144"/>
        <v>99.218921127962602</v>
      </c>
      <c r="BK82" s="180">
        <f t="shared" si="127"/>
        <v>2.6950000000000002E-2</v>
      </c>
      <c r="BL82" s="180">
        <f t="shared" si="128"/>
        <v>2.6950000000000002E-2</v>
      </c>
      <c r="BM82" s="547"/>
      <c r="BO82" s="473">
        <f t="shared" si="145"/>
        <v>53.900000000000006</v>
      </c>
      <c r="BP82" s="547">
        <f t="shared" si="129"/>
        <v>2.0686894909539553E-3</v>
      </c>
      <c r="BQ82" s="547">
        <f t="shared" si="130"/>
        <v>4.6533088822294064E-4</v>
      </c>
      <c r="BR82" s="547">
        <f t="shared" si="131"/>
        <v>4.1711847279702301E-4</v>
      </c>
      <c r="BS82" s="547">
        <f t="shared" si="132"/>
        <v>1.2545185957424668E-2</v>
      </c>
      <c r="BT82" s="657">
        <f t="shared" si="133"/>
        <v>5.9640000000000019E-2</v>
      </c>
      <c r="BU82" s="473">
        <f t="shared" si="146"/>
        <v>75.136324809398602</v>
      </c>
      <c r="BV82" s="180">
        <f t="shared" si="147"/>
        <v>0.22825524593736124</v>
      </c>
      <c r="BW82" s="5">
        <f t="shared" si="148"/>
        <v>1.6401000000000003</v>
      </c>
      <c r="BX82" s="180">
        <f t="shared" si="149"/>
        <v>0.87783091762999033</v>
      </c>
      <c r="BY82" s="5">
        <f t="shared" si="150"/>
        <v>87.783091762999035</v>
      </c>
      <c r="BZ82">
        <f t="shared" si="151"/>
        <v>77.000000000000014</v>
      </c>
      <c r="CB82" s="582">
        <f t="shared" si="134"/>
        <v>-50</v>
      </c>
      <c r="CC82">
        <f t="shared" si="135"/>
        <v>-50</v>
      </c>
    </row>
    <row r="83" spans="5:81" x14ac:dyDescent="0.25">
      <c r="E83" s="177">
        <v>78</v>
      </c>
      <c r="F83" s="224">
        <f t="shared" si="152"/>
        <v>7.8000000000000014E-2</v>
      </c>
      <c r="G83" s="224">
        <f t="shared" si="136"/>
        <v>7.8000000000000014E-2</v>
      </c>
      <c r="H83" s="224">
        <f t="shared" si="91"/>
        <v>0.49140000000000006</v>
      </c>
      <c r="I83" s="224">
        <f t="shared" si="153"/>
        <v>1.1700000000000002</v>
      </c>
      <c r="J83" s="560">
        <f t="shared" si="92"/>
        <v>24</v>
      </c>
      <c r="K83" s="455">
        <f t="shared" si="93"/>
        <v>13.1</v>
      </c>
      <c r="L83" s="455">
        <f t="shared" si="94"/>
        <v>37.1</v>
      </c>
      <c r="M83" s="455"/>
      <c r="N83" s="224">
        <f t="shared" si="95"/>
        <v>0.35309973045822102</v>
      </c>
      <c r="O83" s="179">
        <f t="shared" si="137"/>
        <v>1.6354982726547966</v>
      </c>
      <c r="P83" s="179">
        <f t="shared" si="96"/>
        <v>3.8940435063209446</v>
      </c>
      <c r="Q83" s="224">
        <f t="shared" si="97"/>
        <v>0.25960290042139628</v>
      </c>
      <c r="R83" s="224">
        <f t="shared" si="98"/>
        <v>0.10903321817698644</v>
      </c>
      <c r="S83" s="455">
        <f t="shared" si="99"/>
        <v>6.3</v>
      </c>
      <c r="T83" s="224">
        <f t="shared" si="100"/>
        <v>0.43566539440203567</v>
      </c>
      <c r="U83" s="224">
        <f t="shared" si="101"/>
        <v>0.99839986217133192</v>
      </c>
      <c r="V83" s="224">
        <f t="shared" si="102"/>
        <v>1.8291295184818293</v>
      </c>
      <c r="W83" s="204">
        <f t="shared" si="103"/>
        <v>350</v>
      </c>
      <c r="X83" s="455">
        <f t="shared" si="138"/>
        <v>350</v>
      </c>
      <c r="Z83" s="224">
        <f t="shared" si="104"/>
        <v>0.44022823537648331</v>
      </c>
      <c r="AA83" s="180">
        <f t="shared" si="105"/>
        <v>1.8482864844050828</v>
      </c>
      <c r="AB83" s="180">
        <f t="shared" si="106"/>
        <v>8.4231817558083441E-2</v>
      </c>
      <c r="AC83" s="180"/>
      <c r="AD83" s="180">
        <f t="shared" si="107"/>
        <v>1.217557251908397</v>
      </c>
      <c r="AE83" s="564">
        <f t="shared" si="108"/>
        <v>746.87215281745591</v>
      </c>
      <c r="AF83" s="547">
        <f t="shared" si="109"/>
        <v>3.6552440597785188E-2</v>
      </c>
      <c r="AH83" s="180">
        <f t="shared" si="110"/>
        <v>0.41546719125941461</v>
      </c>
      <c r="AI83" s="180">
        <f t="shared" si="111"/>
        <v>0.41546719125941461</v>
      </c>
      <c r="AJ83" s="180">
        <f t="shared" si="112"/>
        <v>1.2929386601921589</v>
      </c>
      <c r="AL83" s="564">
        <f t="shared" si="113"/>
        <v>78.000000000000014</v>
      </c>
      <c r="AM83" s="473">
        <f t="shared" si="114"/>
        <v>350</v>
      </c>
      <c r="AO83">
        <f t="shared" si="139"/>
        <v>78.000000000000014</v>
      </c>
      <c r="AP83">
        <f t="shared" si="115"/>
        <v>350</v>
      </c>
      <c r="AR83" s="5">
        <f t="shared" si="140"/>
        <v>2.8571428571428572</v>
      </c>
      <c r="AS83" s="5">
        <f t="shared" si="116"/>
        <v>0.95211231330282509</v>
      </c>
      <c r="AT83" s="5">
        <f t="shared" si="141"/>
        <v>1.9050305438400321</v>
      </c>
      <c r="AU83" s="180">
        <f t="shared" si="142"/>
        <v>0.33323930965598875</v>
      </c>
      <c r="AW83" s="5">
        <f t="shared" si="117"/>
        <v>1.1788057212320693</v>
      </c>
      <c r="AX83" s="5">
        <f t="shared" si="118"/>
        <v>0.49509840291746915</v>
      </c>
      <c r="AY83" s="5">
        <f t="shared" si="119"/>
        <v>3.6116204060300611E-2</v>
      </c>
      <c r="AZ83" s="5"/>
      <c r="BA83" s="180">
        <f t="shared" si="143"/>
        <v>0.13846953049903066</v>
      </c>
      <c r="BB83" s="180">
        <f t="shared" si="120"/>
        <v>0.11586494026887621</v>
      </c>
      <c r="BC83" s="180">
        <f t="shared" si="121"/>
        <v>0.11848795609073212</v>
      </c>
      <c r="BD83" s="180"/>
      <c r="BE83" s="547">
        <f t="shared" si="122"/>
        <v>6.7108338068176936E-3</v>
      </c>
      <c r="BF83" s="547">
        <f t="shared" si="123"/>
        <v>5.3948414785034982E-2</v>
      </c>
      <c r="BG83" s="547">
        <f t="shared" si="124"/>
        <v>4.3749999999999995E-3</v>
      </c>
      <c r="BH83" s="547">
        <f t="shared" si="125"/>
        <v>2.7700251250000002E-2</v>
      </c>
      <c r="BI83">
        <f t="shared" si="126"/>
        <v>6.96E-3</v>
      </c>
      <c r="BJ83" s="473">
        <f t="shared" si="144"/>
        <v>99.694499841852675</v>
      </c>
      <c r="BK83" s="180">
        <f t="shared" si="127"/>
        <v>2.7300000000000005E-2</v>
      </c>
      <c r="BL83" s="180">
        <f t="shared" si="128"/>
        <v>2.7300000000000005E-2</v>
      </c>
      <c r="BM83" s="547"/>
      <c r="BO83" s="473">
        <f t="shared" si="145"/>
        <v>54.600000000000009</v>
      </c>
      <c r="BP83" s="547">
        <f t="shared" si="129"/>
        <v>2.1091191964284182E-3</v>
      </c>
      <c r="BQ83" s="547">
        <f t="shared" si="130"/>
        <v>4.6986395342285889E-4</v>
      </c>
      <c r="BR83" s="547">
        <f t="shared" si="131"/>
        <v>4.2118187215677791E-4</v>
      </c>
      <c r="BS83" s="547">
        <f t="shared" si="132"/>
        <v>1.2749171116030534E-2</v>
      </c>
      <c r="BT83" s="657">
        <f t="shared" si="133"/>
        <v>6.0414545454545457E-2</v>
      </c>
      <c r="BU83" s="473">
        <f t="shared" si="146"/>
        <v>76.163881592584048</v>
      </c>
      <c r="BV83" s="180">
        <f t="shared" si="147"/>
        <v>0.2304583814344367</v>
      </c>
      <c r="BW83" s="5">
        <f t="shared" si="148"/>
        <v>1.6614000000000002</v>
      </c>
      <c r="BX83" s="180">
        <f t="shared" si="149"/>
        <v>0.87818412641452603</v>
      </c>
      <c r="BY83" s="5">
        <f t="shared" si="150"/>
        <v>87.818412641452596</v>
      </c>
      <c r="BZ83">
        <f t="shared" si="151"/>
        <v>78.000000000000014</v>
      </c>
      <c r="CB83" s="582">
        <f t="shared" si="134"/>
        <v>-50</v>
      </c>
      <c r="CC83">
        <f t="shared" si="135"/>
        <v>-50</v>
      </c>
    </row>
    <row r="84" spans="5:81" x14ac:dyDescent="0.25">
      <c r="E84" s="177">
        <v>79</v>
      </c>
      <c r="F84" s="224">
        <f t="shared" si="152"/>
        <v>7.9000000000000015E-2</v>
      </c>
      <c r="G84" s="224">
        <f t="shared" si="136"/>
        <v>7.9000000000000015E-2</v>
      </c>
      <c r="H84" s="224">
        <f t="shared" si="91"/>
        <v>0.49770000000000009</v>
      </c>
      <c r="I84" s="224">
        <f t="shared" si="153"/>
        <v>1.1850000000000003</v>
      </c>
      <c r="J84" s="560">
        <f t="shared" si="92"/>
        <v>24</v>
      </c>
      <c r="K84" s="455">
        <f t="shared" si="93"/>
        <v>13.1</v>
      </c>
      <c r="L84" s="455">
        <f t="shared" si="94"/>
        <v>37.1</v>
      </c>
      <c r="M84" s="455"/>
      <c r="N84" s="224">
        <f t="shared" si="95"/>
        <v>0.35309973045822102</v>
      </c>
      <c r="O84" s="179">
        <f t="shared" si="137"/>
        <v>1.6354982726547966</v>
      </c>
      <c r="P84" s="179">
        <f t="shared" si="96"/>
        <v>3.8940435063209446</v>
      </c>
      <c r="Q84" s="224">
        <f t="shared" si="97"/>
        <v>0.25960290042139628</v>
      </c>
      <c r="R84" s="224">
        <f t="shared" si="98"/>
        <v>0.10903321817698644</v>
      </c>
      <c r="S84" s="455">
        <f t="shared" si="99"/>
        <v>6.3</v>
      </c>
      <c r="T84" s="224">
        <f t="shared" si="100"/>
        <v>0.44125084817642074</v>
      </c>
      <c r="U84" s="224">
        <f t="shared" si="101"/>
        <v>1.0111998604042975</v>
      </c>
      <c r="V84" s="224">
        <f t="shared" si="102"/>
        <v>1.852579896923904</v>
      </c>
      <c r="W84" s="204">
        <f t="shared" si="103"/>
        <v>350</v>
      </c>
      <c r="X84" s="455">
        <f t="shared" si="138"/>
        <v>349.18886392749778</v>
      </c>
      <c r="Z84" s="224">
        <f t="shared" si="104"/>
        <v>0.44022823537648331</v>
      </c>
      <c r="AA84" s="180">
        <f t="shared" si="105"/>
        <v>1.8482864844050828</v>
      </c>
      <c r="AB84" s="180">
        <f t="shared" si="106"/>
        <v>8.4231817558083441E-2</v>
      </c>
      <c r="AC84" s="180"/>
      <c r="AD84" s="180">
        <f t="shared" si="107"/>
        <v>1.217557251908397</v>
      </c>
      <c r="AE84" s="564">
        <f t="shared" si="108"/>
        <v>756.44743682793626</v>
      </c>
      <c r="AF84" s="547">
        <f t="shared" si="109"/>
        <v>3.6552440597785188E-2</v>
      </c>
      <c r="AH84" s="180">
        <f t="shared" si="110"/>
        <v>0.41812196070760749</v>
      </c>
      <c r="AI84" s="180">
        <f t="shared" si="111"/>
        <v>0.41812196070760749</v>
      </c>
      <c r="AJ84" s="180">
        <f t="shared" si="112"/>
        <v>1.2949051560797091</v>
      </c>
      <c r="AL84" s="564">
        <f t="shared" si="113"/>
        <v>79.000000000000014</v>
      </c>
      <c r="AM84" s="473">
        <f t="shared" si="114"/>
        <v>349.18886392749778</v>
      </c>
      <c r="AO84">
        <f t="shared" si="139"/>
        <v>79.000000000000014</v>
      </c>
      <c r="AP84">
        <f t="shared" si="115"/>
        <v>349.18886392749778</v>
      </c>
      <c r="AR84" s="5">
        <f t="shared" si="140"/>
        <v>2.8637797573282016</v>
      </c>
      <c r="AS84" s="5">
        <f t="shared" si="116"/>
        <v>0.9581961599549339</v>
      </c>
      <c r="AT84" s="5">
        <f t="shared" si="141"/>
        <v>1.9055835973732678</v>
      </c>
      <c r="AU84" s="180">
        <f t="shared" si="142"/>
        <v>0.33459142851435431</v>
      </c>
      <c r="AW84" s="5">
        <f t="shared" si="117"/>
        <v>1.2015475656577743</v>
      </c>
      <c r="AX84" s="5">
        <f t="shared" si="118"/>
        <v>0.50464997757626529</v>
      </c>
      <c r="AY84" s="5">
        <f t="shared" si="119"/>
        <v>3.6589851713451978E-2</v>
      </c>
      <c r="AZ84" s="5"/>
      <c r="BA84" s="180">
        <f t="shared" si="143"/>
        <v>0.13963675780486559</v>
      </c>
      <c r="BB84" s="180">
        <f t="shared" si="120"/>
        <v>0.11648700736411162</v>
      </c>
      <c r="BC84" s="180">
        <f t="shared" si="121"/>
        <v>0.11912410589148027</v>
      </c>
      <c r="BD84" s="180"/>
      <c r="BE84" s="547">
        <f t="shared" si="122"/>
        <v>6.8244484455891423E-3</v>
      </c>
      <c r="BF84" s="547">
        <f t="shared" si="123"/>
        <v>5.4167310536214736E-2</v>
      </c>
      <c r="BG84" s="547">
        <f t="shared" si="124"/>
        <v>4.3648607990937217E-3</v>
      </c>
      <c r="BH84" s="547">
        <f t="shared" si="125"/>
        <v>2.7636055041410718E-2</v>
      </c>
      <c r="BI84">
        <f t="shared" si="126"/>
        <v>6.96E-3</v>
      </c>
      <c r="BJ84" s="473">
        <f t="shared" si="144"/>
        <v>99.95267482230831</v>
      </c>
      <c r="BK84" s="180">
        <f t="shared" si="127"/>
        <v>2.7650000000000004E-2</v>
      </c>
      <c r="BL84" s="180">
        <f t="shared" si="128"/>
        <v>2.7650000000000004E-2</v>
      </c>
      <c r="BM84" s="547"/>
      <c r="BO84" s="473">
        <f t="shared" si="145"/>
        <v>55.300000000000011</v>
      </c>
      <c r="BP84" s="547">
        <f t="shared" si="129"/>
        <v>2.1448266543280161E-3</v>
      </c>
      <c r="BQ84" s="547">
        <f t="shared" si="130"/>
        <v>4.7492280096263087E-4</v>
      </c>
      <c r="BR84" s="547">
        <f t="shared" si="131"/>
        <v>4.2571657813333811E-4</v>
      </c>
      <c r="BS84" s="547">
        <f t="shared" si="132"/>
        <v>1.2878889371458879E-2</v>
      </c>
      <c r="BT84" s="657">
        <f t="shared" si="133"/>
        <v>6.1047283255148126E-2</v>
      </c>
      <c r="BU84" s="473">
        <f t="shared" si="146"/>
        <v>76.971638660030976</v>
      </c>
      <c r="BV84" s="180">
        <f t="shared" si="147"/>
        <v>0.2322243134823393</v>
      </c>
      <c r="BW84" s="5">
        <f t="shared" si="148"/>
        <v>1.6827000000000003</v>
      </c>
      <c r="BX84" s="180">
        <f t="shared" si="149"/>
        <v>0.8787292469747624</v>
      </c>
      <c r="BY84" s="5">
        <f t="shared" si="150"/>
        <v>87.872924697476236</v>
      </c>
      <c r="BZ84">
        <f t="shared" si="151"/>
        <v>79.000000000000014</v>
      </c>
      <c r="CB84" s="582">
        <f t="shared" si="134"/>
        <v>-50</v>
      </c>
      <c r="CC84">
        <f t="shared" si="135"/>
        <v>-50</v>
      </c>
    </row>
    <row r="85" spans="5:81" x14ac:dyDescent="0.25">
      <c r="E85" s="177">
        <v>80</v>
      </c>
      <c r="F85" s="224">
        <f t="shared" si="152"/>
        <v>8.0000000000000016E-2</v>
      </c>
      <c r="G85" s="224">
        <f t="shared" si="136"/>
        <v>8.0000000000000016E-2</v>
      </c>
      <c r="H85" s="224">
        <f t="shared" si="91"/>
        <v>0.50400000000000011</v>
      </c>
      <c r="I85" s="224">
        <f t="shared" si="153"/>
        <v>1.2000000000000002</v>
      </c>
      <c r="J85" s="560">
        <f t="shared" si="92"/>
        <v>24</v>
      </c>
      <c r="K85" s="455">
        <f t="shared" si="93"/>
        <v>13.1</v>
      </c>
      <c r="L85" s="455">
        <f t="shared" si="94"/>
        <v>37.1</v>
      </c>
      <c r="M85" s="455"/>
      <c r="N85" s="224">
        <f t="shared" si="95"/>
        <v>0.35309973045822102</v>
      </c>
      <c r="O85" s="179">
        <f t="shared" si="137"/>
        <v>1.6354982726547966</v>
      </c>
      <c r="P85" s="179">
        <f t="shared" si="96"/>
        <v>3.8940435063209446</v>
      </c>
      <c r="Q85" s="224">
        <f t="shared" si="97"/>
        <v>0.25960290042139628</v>
      </c>
      <c r="R85" s="224">
        <f t="shared" si="98"/>
        <v>0.10903321817698644</v>
      </c>
      <c r="S85" s="455">
        <f t="shared" si="99"/>
        <v>6.3</v>
      </c>
      <c r="T85" s="224">
        <f t="shared" si="100"/>
        <v>0.44683630195080581</v>
      </c>
      <c r="U85" s="224">
        <f t="shared" si="101"/>
        <v>1.0239998586372634</v>
      </c>
      <c r="V85" s="224">
        <f t="shared" si="102"/>
        <v>1.8760302753659788</v>
      </c>
      <c r="W85" s="204">
        <f t="shared" si="103"/>
        <v>350</v>
      </c>
      <c r="X85" s="455">
        <f t="shared" si="138"/>
        <v>344.824003128404</v>
      </c>
      <c r="Z85" s="224">
        <f t="shared" si="104"/>
        <v>0.44022823537648331</v>
      </c>
      <c r="AA85" s="180">
        <f t="shared" si="105"/>
        <v>1.8482864844050828</v>
      </c>
      <c r="AB85" s="180">
        <f t="shared" si="106"/>
        <v>8.4231817558083441E-2</v>
      </c>
      <c r="AC85" s="180"/>
      <c r="AD85" s="180">
        <f t="shared" si="107"/>
        <v>1.217557251908397</v>
      </c>
      <c r="AE85" s="564">
        <f t="shared" si="108"/>
        <v>766.02272083841649</v>
      </c>
      <c r="AF85" s="547">
        <f t="shared" si="109"/>
        <v>3.6552440597785188E-2</v>
      </c>
      <c r="AH85" s="180">
        <f t="shared" si="110"/>
        <v>0.42075998032008827</v>
      </c>
      <c r="AI85" s="180">
        <f t="shared" si="111"/>
        <v>0.42075998032008827</v>
      </c>
      <c r="AJ85" s="180">
        <f t="shared" si="112"/>
        <v>1.2968592446815468</v>
      </c>
      <c r="AL85" s="564">
        <f t="shared" si="113"/>
        <v>80.000000000000014</v>
      </c>
      <c r="AM85" s="473">
        <f t="shared" si="114"/>
        <v>344.824003128404</v>
      </c>
      <c r="AO85">
        <f t="shared" si="139"/>
        <v>80.000000000000014</v>
      </c>
      <c r="AP85">
        <f t="shared" si="115"/>
        <v>344.824003128404</v>
      </c>
      <c r="AR85" s="5">
        <f t="shared" si="140"/>
        <v>2.9000301340032424</v>
      </c>
      <c r="AS85" s="5">
        <f t="shared" si="116"/>
        <v>0.9642416215668691</v>
      </c>
      <c r="AT85" s="5">
        <f t="shared" si="141"/>
        <v>1.9357885124363734</v>
      </c>
      <c r="AU85" s="180">
        <f t="shared" si="142"/>
        <v>0.33249365593171143</v>
      </c>
      <c r="AW85" s="5">
        <f t="shared" si="117"/>
        <v>1.2244338051642785</v>
      </c>
      <c r="AX85" s="5">
        <f t="shared" si="118"/>
        <v>0.51426219816899688</v>
      </c>
      <c r="AY85" s="5">
        <f t="shared" si="119"/>
        <v>3.7640332186262823E-2</v>
      </c>
      <c r="AZ85" s="5"/>
      <c r="BA85" s="180">
        <f t="shared" si="143"/>
        <v>0.14007656406193958</v>
      </c>
      <c r="BB85" s="180">
        <f t="shared" si="120"/>
        <v>0.11740658049520326</v>
      </c>
      <c r="BC85" s="180">
        <f t="shared" si="121"/>
        <v>0.12006449683740537</v>
      </c>
      <c r="BD85" s="180"/>
      <c r="BE85" s="547">
        <f t="shared" si="122"/>
        <v>6.8675053297895319E-3</v>
      </c>
      <c r="BF85" s="547">
        <f t="shared" si="123"/>
        <v>5.3827700225744693E-2</v>
      </c>
      <c r="BG85" s="547">
        <f t="shared" si="124"/>
        <v>4.3103000391050495E-3</v>
      </c>
      <c r="BH85" s="547">
        <f t="shared" si="125"/>
        <v>2.7290604353393078E-2</v>
      </c>
      <c r="BI85">
        <f t="shared" si="126"/>
        <v>6.96E-3</v>
      </c>
      <c r="BJ85" s="473">
        <f t="shared" si="144"/>
        <v>99.256109948032346</v>
      </c>
      <c r="BK85" s="180">
        <f t="shared" si="127"/>
        <v>2.8000000000000004E-2</v>
      </c>
      <c r="BL85" s="180">
        <f t="shared" si="128"/>
        <v>2.8000000000000004E-2</v>
      </c>
      <c r="BM85" s="547"/>
      <c r="BO85" s="473">
        <f t="shared" si="145"/>
        <v>56.000000000000007</v>
      </c>
      <c r="BP85" s="547">
        <f t="shared" si="129"/>
        <v>2.158358817933853E-3</v>
      </c>
      <c r="BQ85" s="547">
        <f t="shared" si="130"/>
        <v>4.8245068002518258E-4</v>
      </c>
      <c r="BR85" s="547">
        <f t="shared" si="131"/>
        <v>4.3246450202457976E-4</v>
      </c>
      <c r="BS85" s="547">
        <f t="shared" si="132"/>
        <v>1.2677972139031862E-2</v>
      </c>
      <c r="BT85" s="657">
        <f t="shared" si="133"/>
        <v>6.1047283255148112E-2</v>
      </c>
      <c r="BU85" s="473">
        <f t="shared" si="146"/>
        <v>76.798529394163594</v>
      </c>
      <c r="BV85" s="180">
        <f t="shared" si="147"/>
        <v>0.23205463934219592</v>
      </c>
      <c r="BW85" s="5">
        <f t="shared" si="148"/>
        <v>1.7040000000000002</v>
      </c>
      <c r="BX85" s="180">
        <f t="shared" si="149"/>
        <v>0.8801404492276933</v>
      </c>
      <c r="BY85" s="5">
        <f t="shared" si="150"/>
        <v>88.01404492276933</v>
      </c>
      <c r="BZ85">
        <f t="shared" si="151"/>
        <v>80.000000000000014</v>
      </c>
      <c r="CB85" s="582">
        <f t="shared" si="134"/>
        <v>-50</v>
      </c>
      <c r="CC85">
        <f t="shared" si="135"/>
        <v>-50</v>
      </c>
    </row>
    <row r="86" spans="5:81" x14ac:dyDescent="0.25">
      <c r="E86" s="177">
        <v>81</v>
      </c>
      <c r="F86" s="224">
        <f t="shared" si="152"/>
        <v>8.1000000000000016E-2</v>
      </c>
      <c r="G86" s="224">
        <f t="shared" si="136"/>
        <v>8.1000000000000016E-2</v>
      </c>
      <c r="H86" s="224">
        <f t="shared" si="91"/>
        <v>0.51030000000000009</v>
      </c>
      <c r="I86" s="224">
        <f t="shared" si="153"/>
        <v>1.2150000000000003</v>
      </c>
      <c r="J86" s="560">
        <f t="shared" si="92"/>
        <v>24</v>
      </c>
      <c r="K86" s="455">
        <f t="shared" si="93"/>
        <v>13.1</v>
      </c>
      <c r="L86" s="455">
        <f t="shared" si="94"/>
        <v>37.1</v>
      </c>
      <c r="M86" s="455"/>
      <c r="N86" s="224">
        <f t="shared" si="95"/>
        <v>0.35309973045822102</v>
      </c>
      <c r="O86" s="179">
        <f t="shared" si="137"/>
        <v>1.6354982726547966</v>
      </c>
      <c r="P86" s="179">
        <f t="shared" si="96"/>
        <v>3.8940435063209446</v>
      </c>
      <c r="Q86" s="224">
        <f t="shared" si="97"/>
        <v>0.25960290042139628</v>
      </c>
      <c r="R86" s="224">
        <f t="shared" si="98"/>
        <v>0.10903321817698644</v>
      </c>
      <c r="S86" s="455">
        <f t="shared" si="99"/>
        <v>6.3</v>
      </c>
      <c r="T86" s="224">
        <f t="shared" si="100"/>
        <v>0.45242175572519089</v>
      </c>
      <c r="U86" s="224">
        <f t="shared" si="101"/>
        <v>1.036799856870229</v>
      </c>
      <c r="V86" s="224">
        <f t="shared" si="102"/>
        <v>1.8994806538080533</v>
      </c>
      <c r="W86" s="204">
        <f t="shared" si="103"/>
        <v>350</v>
      </c>
      <c r="X86" s="455">
        <f t="shared" si="138"/>
        <v>340.56691667002877</v>
      </c>
      <c r="Z86" s="224">
        <f t="shared" si="104"/>
        <v>0.44022823537648331</v>
      </c>
      <c r="AA86" s="180">
        <f t="shared" si="105"/>
        <v>1.8482864844050828</v>
      </c>
      <c r="AB86" s="180">
        <f t="shared" si="106"/>
        <v>8.4231817558083441E-2</v>
      </c>
      <c r="AC86" s="180"/>
      <c r="AD86" s="180">
        <f t="shared" si="107"/>
        <v>1.217557251908397</v>
      </c>
      <c r="AE86" s="564">
        <f t="shared" si="108"/>
        <v>775.59800484889661</v>
      </c>
      <c r="AF86" s="547">
        <f t="shared" si="109"/>
        <v>3.6552440597785188E-2</v>
      </c>
      <c r="AH86" s="180">
        <f t="shared" si="110"/>
        <v>0.423381563193236</v>
      </c>
      <c r="AI86" s="180">
        <f t="shared" si="111"/>
        <v>0.423381563193236</v>
      </c>
      <c r="AJ86" s="180">
        <f t="shared" si="112"/>
        <v>1.2988011579209155</v>
      </c>
      <c r="AL86" s="564">
        <f t="shared" si="113"/>
        <v>81.000000000000014</v>
      </c>
      <c r="AM86" s="473">
        <f t="shared" si="114"/>
        <v>340.56691667002877</v>
      </c>
      <c r="AO86">
        <f t="shared" si="139"/>
        <v>81.000000000000014</v>
      </c>
      <c r="AP86">
        <f t="shared" si="115"/>
        <v>340.56691667002877</v>
      </c>
      <c r="AR86" s="5">
        <f t="shared" si="140"/>
        <v>2.9362805106782819</v>
      </c>
      <c r="AS86" s="5">
        <f t="shared" si="116"/>
        <v>0.97024941565116596</v>
      </c>
      <c r="AT86" s="5">
        <f t="shared" si="141"/>
        <v>1.966031095027116</v>
      </c>
      <c r="AU86" s="180">
        <f t="shared" si="142"/>
        <v>0.33043485188921479</v>
      </c>
      <c r="AW86" s="5">
        <f t="shared" si="117"/>
        <v>1.2474635344086422</v>
      </c>
      <c r="AX86" s="5">
        <f t="shared" si="118"/>
        <v>0.52393468445162972</v>
      </c>
      <c r="AY86" s="5">
        <f t="shared" si="119"/>
        <v>3.8706237183346349E-2</v>
      </c>
      <c r="AZ86" s="5"/>
      <c r="BA86" s="180">
        <f t="shared" si="143"/>
        <v>0.14051226625624622</v>
      </c>
      <c r="BB86" s="180">
        <f t="shared" si="120"/>
        <v>0.11832014040016529</v>
      </c>
      <c r="BC86" s="180">
        <f t="shared" si="121"/>
        <v>0.12099873842639854</v>
      </c>
      <c r="BD86" s="180"/>
      <c r="BE86" s="547">
        <f t="shared" si="122"/>
        <v>6.9102939389631794E-3</v>
      </c>
      <c r="BF86" s="547">
        <f t="shared" si="123"/>
        <v>5.3494398567664865E-2</v>
      </c>
      <c r="BG86" s="547">
        <f t="shared" si="124"/>
        <v>4.2570864583753596E-3</v>
      </c>
      <c r="BH86" s="547">
        <f t="shared" si="125"/>
        <v>2.6953683311993173E-2</v>
      </c>
      <c r="BI86">
        <f t="shared" si="126"/>
        <v>6.96E-3</v>
      </c>
      <c r="BJ86" s="473">
        <f t="shared" si="144"/>
        <v>98.575462276996561</v>
      </c>
      <c r="BK86" s="180">
        <f t="shared" si="127"/>
        <v>2.8350000000000004E-2</v>
      </c>
      <c r="BL86" s="180">
        <f t="shared" si="128"/>
        <v>2.8350000000000004E-2</v>
      </c>
      <c r="BM86" s="547"/>
      <c r="BO86" s="473">
        <f t="shared" si="145"/>
        <v>56.70000000000001</v>
      </c>
      <c r="BP86" s="547">
        <f t="shared" si="129"/>
        <v>2.1718066665312851E-3</v>
      </c>
      <c r="BQ86" s="547">
        <f t="shared" si="130"/>
        <v>4.8998794685101903E-4</v>
      </c>
      <c r="BR86" s="547">
        <f t="shared" si="131"/>
        <v>4.3922084102340038E-4</v>
      </c>
      <c r="BS86" s="547">
        <f t="shared" si="132"/>
        <v>1.2482627283264469E-2</v>
      </c>
      <c r="BT86" s="657">
        <f t="shared" si="133"/>
        <v>6.104728325514814E-2</v>
      </c>
      <c r="BU86" s="473">
        <f t="shared" si="146"/>
        <v>76.63092599281832</v>
      </c>
      <c r="BV86" s="180">
        <f t="shared" si="147"/>
        <v>0.23190638826981488</v>
      </c>
      <c r="BW86" s="5">
        <f t="shared" si="148"/>
        <v>1.7253000000000003</v>
      </c>
      <c r="BX86" s="180">
        <f t="shared" si="149"/>
        <v>0.88151153109876068</v>
      </c>
      <c r="BY86" s="5">
        <f t="shared" si="150"/>
        <v>88.151153109876063</v>
      </c>
      <c r="BZ86">
        <f t="shared" si="151"/>
        <v>81.000000000000014</v>
      </c>
      <c r="CB86" s="582">
        <f t="shared" si="134"/>
        <v>-50</v>
      </c>
      <c r="CC86">
        <f t="shared" si="135"/>
        <v>-50</v>
      </c>
    </row>
    <row r="87" spans="5:81" x14ac:dyDescent="0.25">
      <c r="E87" s="177">
        <v>82</v>
      </c>
      <c r="F87" s="224">
        <f t="shared" si="152"/>
        <v>8.2000000000000003E-2</v>
      </c>
      <c r="G87" s="224">
        <f t="shared" si="136"/>
        <v>8.2000000000000003E-2</v>
      </c>
      <c r="H87" s="224">
        <f t="shared" si="91"/>
        <v>0.51660000000000006</v>
      </c>
      <c r="I87" s="224">
        <f t="shared" si="153"/>
        <v>1.23</v>
      </c>
      <c r="J87" s="560">
        <f t="shared" si="92"/>
        <v>24</v>
      </c>
      <c r="K87" s="455">
        <f t="shared" si="93"/>
        <v>13.1</v>
      </c>
      <c r="L87" s="455">
        <f t="shared" si="94"/>
        <v>37.1</v>
      </c>
      <c r="M87" s="455"/>
      <c r="N87" s="224">
        <f t="shared" si="95"/>
        <v>0.35309973045822102</v>
      </c>
      <c r="O87" s="179">
        <f t="shared" si="137"/>
        <v>1.6354982726547966</v>
      </c>
      <c r="P87" s="179">
        <f t="shared" si="96"/>
        <v>3.8940435063209446</v>
      </c>
      <c r="Q87" s="224">
        <f t="shared" si="97"/>
        <v>0.25960290042139628</v>
      </c>
      <c r="R87" s="224">
        <f t="shared" si="98"/>
        <v>0.10903321817698644</v>
      </c>
      <c r="S87" s="455">
        <f t="shared" si="99"/>
        <v>6.3</v>
      </c>
      <c r="T87" s="224">
        <f t="shared" si="100"/>
        <v>0.45800720949957585</v>
      </c>
      <c r="U87" s="224">
        <f t="shared" si="101"/>
        <v>1.0495998551031946</v>
      </c>
      <c r="V87" s="224">
        <f t="shared" si="102"/>
        <v>1.9229310322501276</v>
      </c>
      <c r="W87" s="204">
        <f t="shared" si="103"/>
        <v>350</v>
      </c>
      <c r="X87" s="455">
        <f t="shared" si="138"/>
        <v>336.41366158868698</v>
      </c>
      <c r="Z87" s="224">
        <f t="shared" si="104"/>
        <v>0.44022823537648331</v>
      </c>
      <c r="AA87" s="180">
        <f t="shared" si="105"/>
        <v>1.8482864844050828</v>
      </c>
      <c r="AB87" s="180">
        <f t="shared" si="106"/>
        <v>8.4231817558083441E-2</v>
      </c>
      <c r="AC87" s="180"/>
      <c r="AD87" s="180">
        <f t="shared" si="107"/>
        <v>1.217557251908397</v>
      </c>
      <c r="AE87" s="564">
        <f t="shared" si="108"/>
        <v>785.17328885937684</v>
      </c>
      <c r="AF87" s="547">
        <f t="shared" si="109"/>
        <v>3.6552440597785188E-2</v>
      </c>
      <c r="AH87" s="180">
        <f t="shared" si="110"/>
        <v>0.42598701278904627</v>
      </c>
      <c r="AI87" s="180">
        <f t="shared" si="111"/>
        <v>0.42598701278904627</v>
      </c>
      <c r="AJ87" s="180">
        <f t="shared" si="112"/>
        <v>1.3007311205844787</v>
      </c>
      <c r="AL87" s="564">
        <f t="shared" si="113"/>
        <v>82</v>
      </c>
      <c r="AM87" s="473">
        <f t="shared" si="114"/>
        <v>336.41366158868698</v>
      </c>
      <c r="AO87">
        <f t="shared" si="139"/>
        <v>82</v>
      </c>
      <c r="AP87">
        <f t="shared" si="115"/>
        <v>336.41366158868698</v>
      </c>
      <c r="AR87" s="5">
        <f t="shared" si="140"/>
        <v>2.9725308873533223</v>
      </c>
      <c r="AS87" s="5">
        <f t="shared" si="116"/>
        <v>0.97622023764156451</v>
      </c>
      <c r="AT87" s="5">
        <f t="shared" si="141"/>
        <v>1.9963106497117578</v>
      </c>
      <c r="AU87" s="180">
        <f t="shared" si="142"/>
        <v>0.32841382466197688</v>
      </c>
      <c r="AW87" s="5">
        <f t="shared" si="117"/>
        <v>1.2706358648667981</v>
      </c>
      <c r="AX87" s="5">
        <f t="shared" si="118"/>
        <v>0.53366706324405522</v>
      </c>
      <c r="AY87" s="5">
        <f t="shared" si="119"/>
        <v>3.9787580310227395E-2</v>
      </c>
      <c r="AZ87" s="5"/>
      <c r="BA87" s="180">
        <f t="shared" si="143"/>
        <v>0.14094395265105986</v>
      </c>
      <c r="BB87" s="180">
        <f t="shared" si="120"/>
        <v>0.11922780453752092</v>
      </c>
      <c r="BC87" s="180">
        <f t="shared" si="121"/>
        <v>0.12192695077607527</v>
      </c>
      <c r="BD87" s="180"/>
      <c r="BE87" s="547">
        <f t="shared" si="122"/>
        <v>6.9528192261164709E-3</v>
      </c>
      <c r="BF87" s="547">
        <f t="shared" si="123"/>
        <v>5.3167212632549844E-2</v>
      </c>
      <c r="BG87" s="547">
        <f t="shared" si="124"/>
        <v>4.2051707698585869E-3</v>
      </c>
      <c r="BH87" s="547">
        <f t="shared" si="125"/>
        <v>2.6624979856968871E-2</v>
      </c>
      <c r="BI87">
        <f t="shared" si="126"/>
        <v>6.96E-3</v>
      </c>
      <c r="BJ87" s="473">
        <f t="shared" si="144"/>
        <v>97.910182485493763</v>
      </c>
      <c r="BK87" s="180">
        <f t="shared" si="127"/>
        <v>2.87E-2</v>
      </c>
      <c r="BL87" s="180">
        <f t="shared" si="128"/>
        <v>2.87E-2</v>
      </c>
      <c r="BM87" s="547"/>
      <c r="BO87" s="473">
        <f t="shared" si="145"/>
        <v>57.4</v>
      </c>
      <c r="BP87" s="547">
        <f t="shared" si="129"/>
        <v>2.1851717567794625E-3</v>
      </c>
      <c r="BQ87" s="547">
        <f t="shared" si="130"/>
        <v>4.975344281193053E-4</v>
      </c>
      <c r="BR87" s="547">
        <f t="shared" si="131"/>
        <v>4.4598543976654439E-4</v>
      </c>
      <c r="BS87" s="547">
        <f t="shared" si="132"/>
        <v>1.229263428687725E-2</v>
      </c>
      <c r="BT87" s="657">
        <f t="shared" si="133"/>
        <v>6.104728325514814E-2</v>
      </c>
      <c r="BU87" s="473">
        <f t="shared" si="146"/>
        <v>76.468609166690698</v>
      </c>
      <c r="BV87" s="180">
        <f t="shared" si="147"/>
        <v>0.23177879165218446</v>
      </c>
      <c r="BW87" s="5">
        <f t="shared" si="148"/>
        <v>1.7465999999999999</v>
      </c>
      <c r="BX87" s="180">
        <f t="shared" si="149"/>
        <v>0.88284407787316532</v>
      </c>
      <c r="BY87" s="5">
        <f t="shared" si="150"/>
        <v>88.284407787316539</v>
      </c>
      <c r="BZ87">
        <f t="shared" si="151"/>
        <v>82</v>
      </c>
      <c r="CB87" s="582">
        <f t="shared" si="134"/>
        <v>-50</v>
      </c>
      <c r="CC87">
        <f t="shared" si="135"/>
        <v>-50</v>
      </c>
    </row>
    <row r="88" spans="5:81" x14ac:dyDescent="0.25">
      <c r="E88" s="177">
        <v>83</v>
      </c>
      <c r="F88" s="224">
        <f t="shared" si="152"/>
        <v>8.3000000000000004E-2</v>
      </c>
      <c r="G88" s="224">
        <f t="shared" si="136"/>
        <v>8.3000000000000004E-2</v>
      </c>
      <c r="H88" s="224">
        <f t="shared" si="91"/>
        <v>0.52290000000000003</v>
      </c>
      <c r="I88" s="224">
        <f t="shared" si="153"/>
        <v>1.2450000000000001</v>
      </c>
      <c r="J88" s="560">
        <f t="shared" si="92"/>
        <v>24</v>
      </c>
      <c r="K88" s="455">
        <f t="shared" si="93"/>
        <v>13.1</v>
      </c>
      <c r="L88" s="455">
        <f t="shared" si="94"/>
        <v>37.1</v>
      </c>
      <c r="M88" s="455"/>
      <c r="N88" s="224">
        <f t="shared" si="95"/>
        <v>0.35309973045822102</v>
      </c>
      <c r="O88" s="179">
        <f t="shared" si="137"/>
        <v>1.6354982726547966</v>
      </c>
      <c r="P88" s="179">
        <f t="shared" si="96"/>
        <v>3.8940435063209446</v>
      </c>
      <c r="Q88" s="224">
        <f t="shared" si="97"/>
        <v>0.25960290042139628</v>
      </c>
      <c r="R88" s="224">
        <f t="shared" si="98"/>
        <v>0.10903321817698644</v>
      </c>
      <c r="S88" s="455">
        <f t="shared" si="99"/>
        <v>6.3</v>
      </c>
      <c r="T88" s="224">
        <f t="shared" si="100"/>
        <v>0.46359266327396098</v>
      </c>
      <c r="U88" s="224">
        <f t="shared" si="101"/>
        <v>1.0623998533361607</v>
      </c>
      <c r="V88" s="224">
        <f t="shared" si="102"/>
        <v>1.9463814106922028</v>
      </c>
      <c r="W88" s="204">
        <f t="shared" si="103"/>
        <v>350</v>
      </c>
      <c r="X88" s="455">
        <f t="shared" si="138"/>
        <v>332.36048494304003</v>
      </c>
      <c r="Z88" s="224">
        <f t="shared" si="104"/>
        <v>0.44022823537648331</v>
      </c>
      <c r="AA88" s="180">
        <f t="shared" si="105"/>
        <v>1.8482864844050828</v>
      </c>
      <c r="AB88" s="180">
        <f t="shared" si="106"/>
        <v>8.4231817558083441E-2</v>
      </c>
      <c r="AC88" s="180"/>
      <c r="AD88" s="180">
        <f t="shared" si="107"/>
        <v>1.217557251908397</v>
      </c>
      <c r="AE88" s="564">
        <f t="shared" si="108"/>
        <v>794.74857286985696</v>
      </c>
      <c r="AF88" s="547">
        <f t="shared" si="109"/>
        <v>3.6552440597785188E-2</v>
      </c>
      <c r="AH88" s="180">
        <f t="shared" si="110"/>
        <v>0.42857662334514007</v>
      </c>
      <c r="AI88" s="180">
        <f t="shared" si="111"/>
        <v>0.42857662334514007</v>
      </c>
      <c r="AJ88" s="180">
        <f t="shared" si="112"/>
        <v>1.3026493506260297</v>
      </c>
      <c r="AL88" s="564">
        <f t="shared" si="113"/>
        <v>83</v>
      </c>
      <c r="AM88" s="473">
        <f t="shared" si="114"/>
        <v>332.36048494304003</v>
      </c>
      <c r="AO88">
        <f t="shared" si="139"/>
        <v>83</v>
      </c>
      <c r="AP88">
        <f t="shared" si="115"/>
        <v>332.36048494304003</v>
      </c>
      <c r="AR88" s="5">
        <f t="shared" si="140"/>
        <v>3.0087812640283635</v>
      </c>
      <c r="AS88" s="5">
        <f t="shared" si="116"/>
        <v>0.98215476183261263</v>
      </c>
      <c r="AT88" s="5">
        <f t="shared" si="141"/>
        <v>2.026626502195751</v>
      </c>
      <c r="AU88" s="180">
        <f t="shared" si="142"/>
        <v>0.32642943293180315</v>
      </c>
      <c r="AW88" s="5">
        <f t="shared" si="117"/>
        <v>1.2939499243191563</v>
      </c>
      <c r="AX88" s="5">
        <f t="shared" si="118"/>
        <v>0.5434589682140456</v>
      </c>
      <c r="AY88" s="5">
        <f t="shared" si="119"/>
        <v>4.0884374922768446E-2</v>
      </c>
      <c r="AZ88" s="5"/>
      <c r="BA88" s="180">
        <f t="shared" si="143"/>
        <v>0.14137170856290876</v>
      </c>
      <c r="BB88" s="180">
        <f t="shared" si="120"/>
        <v>0.12012968656267914</v>
      </c>
      <c r="BC88" s="180">
        <f t="shared" si="121"/>
        <v>0.12284925011483971</v>
      </c>
      <c r="BD88" s="180"/>
      <c r="BE88" s="547">
        <f t="shared" si="122"/>
        <v>6.9950859936986033E-3</v>
      </c>
      <c r="BF88" s="547">
        <f t="shared" si="123"/>
        <v>5.2845957651359549E-2</v>
      </c>
      <c r="BG88" s="547">
        <f t="shared" si="124"/>
        <v>4.1545060617880006E-3</v>
      </c>
      <c r="BH88" s="547">
        <f t="shared" si="125"/>
        <v>2.630419696712586E-2</v>
      </c>
      <c r="BI88">
        <f t="shared" si="126"/>
        <v>6.96E-3</v>
      </c>
      <c r="BJ88" s="473">
        <f t="shared" si="144"/>
        <v>97.259746673972003</v>
      </c>
      <c r="BK88" s="180">
        <f t="shared" si="127"/>
        <v>2.9049999999999999E-2</v>
      </c>
      <c r="BL88" s="180">
        <f t="shared" si="128"/>
        <v>2.9049999999999999E-2</v>
      </c>
      <c r="BM88" s="547"/>
      <c r="BO88" s="473">
        <f t="shared" si="145"/>
        <v>58.1</v>
      </c>
      <c r="BP88" s="547">
        <f t="shared" si="129"/>
        <v>2.1984555980195612E-3</v>
      </c>
      <c r="BQ88" s="547">
        <f t="shared" si="130"/>
        <v>5.0508995577766373E-4</v>
      </c>
      <c r="BR88" s="547">
        <f t="shared" si="131"/>
        <v>4.5275814761335333E-4</v>
      </c>
      <c r="BS88" s="547">
        <f t="shared" si="132"/>
        <v>1.2107783906975358E-2</v>
      </c>
      <c r="BT88" s="657">
        <f t="shared" si="133"/>
        <v>6.1047283255148098E-2</v>
      </c>
      <c r="BU88" s="473">
        <f t="shared" si="146"/>
        <v>76.311370863534037</v>
      </c>
      <c r="BV88" s="180">
        <f t="shared" si="147"/>
        <v>0.23167111753750605</v>
      </c>
      <c r="BW88" s="5">
        <f t="shared" si="148"/>
        <v>1.7679</v>
      </c>
      <c r="BX88" s="180">
        <f t="shared" si="149"/>
        <v>0.88413959598355685</v>
      </c>
      <c r="BY88" s="5">
        <f t="shared" si="150"/>
        <v>88.413959598355689</v>
      </c>
      <c r="BZ88">
        <f t="shared" si="151"/>
        <v>83</v>
      </c>
      <c r="CB88" s="582">
        <f t="shared" si="134"/>
        <v>-50</v>
      </c>
      <c r="CC88">
        <f t="shared" si="135"/>
        <v>-50</v>
      </c>
    </row>
    <row r="89" spans="5:81" x14ac:dyDescent="0.25">
      <c r="E89" s="177">
        <v>84</v>
      </c>
      <c r="F89" s="224">
        <f t="shared" si="152"/>
        <v>8.4000000000000005E-2</v>
      </c>
      <c r="G89" s="224">
        <f t="shared" si="136"/>
        <v>8.4000000000000005E-2</v>
      </c>
      <c r="H89" s="224">
        <f t="shared" si="91"/>
        <v>0.5292</v>
      </c>
      <c r="I89" s="224">
        <f t="shared" si="153"/>
        <v>1.26</v>
      </c>
      <c r="J89" s="560">
        <f t="shared" si="92"/>
        <v>24</v>
      </c>
      <c r="K89" s="455">
        <f t="shared" si="93"/>
        <v>13.1</v>
      </c>
      <c r="L89" s="455">
        <f t="shared" si="94"/>
        <v>37.1</v>
      </c>
      <c r="M89" s="455"/>
      <c r="N89" s="224">
        <f t="shared" si="95"/>
        <v>0.35309973045822102</v>
      </c>
      <c r="O89" s="179">
        <f t="shared" si="137"/>
        <v>1.6354982726547966</v>
      </c>
      <c r="P89" s="179">
        <f t="shared" si="96"/>
        <v>3.8940435063209446</v>
      </c>
      <c r="Q89" s="224">
        <f t="shared" si="97"/>
        <v>0.25960290042139628</v>
      </c>
      <c r="R89" s="224">
        <f t="shared" si="98"/>
        <v>0.10903321817698644</v>
      </c>
      <c r="S89" s="455">
        <f t="shared" si="99"/>
        <v>6.3</v>
      </c>
      <c r="T89" s="224">
        <f t="shared" si="100"/>
        <v>0.46917811704834606</v>
      </c>
      <c r="U89" s="224">
        <f t="shared" si="101"/>
        <v>1.0751998515691263</v>
      </c>
      <c r="V89" s="224">
        <f t="shared" si="102"/>
        <v>1.9698317891342774</v>
      </c>
      <c r="W89" s="204">
        <f t="shared" si="103"/>
        <v>350</v>
      </c>
      <c r="X89" s="455">
        <f t="shared" si="138"/>
        <v>328.40381250324197</v>
      </c>
      <c r="Z89" s="224">
        <f t="shared" si="104"/>
        <v>0.44022823537648331</v>
      </c>
      <c r="AA89" s="180">
        <f t="shared" si="105"/>
        <v>1.8482864844050828</v>
      </c>
      <c r="AB89" s="180">
        <f t="shared" si="106"/>
        <v>8.4231817558083441E-2</v>
      </c>
      <c r="AC89" s="180"/>
      <c r="AD89" s="180">
        <f t="shared" si="107"/>
        <v>1.217557251908397</v>
      </c>
      <c r="AE89" s="564">
        <f t="shared" si="108"/>
        <v>804.32385688033708</v>
      </c>
      <c r="AF89" s="547">
        <f t="shared" si="109"/>
        <v>3.6552440597785188E-2</v>
      </c>
      <c r="AH89" s="180">
        <f t="shared" si="110"/>
        <v>0.43115068026260739</v>
      </c>
      <c r="AI89" s="180">
        <f t="shared" si="111"/>
        <v>0.43115068026260739</v>
      </c>
      <c r="AJ89" s="180">
        <f t="shared" si="112"/>
        <v>1.3045560594537833</v>
      </c>
      <c r="AL89" s="564">
        <f t="shared" si="113"/>
        <v>84</v>
      </c>
      <c r="AM89" s="473">
        <f t="shared" si="114"/>
        <v>328.40381250324197</v>
      </c>
      <c r="AO89">
        <f t="shared" si="139"/>
        <v>84</v>
      </c>
      <c r="AP89">
        <f t="shared" si="115"/>
        <v>328.40381250324197</v>
      </c>
      <c r="AR89" s="5">
        <f t="shared" si="140"/>
        <v>3.0450316407034039</v>
      </c>
      <c r="AS89" s="5">
        <f t="shared" si="116"/>
        <v>0.98805364226847525</v>
      </c>
      <c r="AT89" s="5">
        <f t="shared" si="141"/>
        <v>2.0569779984349288</v>
      </c>
      <c r="AU89" s="180">
        <f t="shared" si="142"/>
        <v>0.32448058307868166</v>
      </c>
      <c r="AW89" s="5">
        <f t="shared" si="117"/>
        <v>1.317404856357967</v>
      </c>
      <c r="AX89" s="5">
        <f t="shared" si="118"/>
        <v>0.5533100396703462</v>
      </c>
      <c r="AY89" s="5">
        <f t="shared" si="119"/>
        <v>4.1996634134713121E-2</v>
      </c>
      <c r="AZ89" s="5"/>
      <c r="BA89" s="180">
        <f t="shared" si="143"/>
        <v>0.14179561649412203</v>
      </c>
      <c r="BB89" s="180">
        <f t="shared" si="120"/>
        <v>0.1210258964992507</v>
      </c>
      <c r="BC89" s="180">
        <f t="shared" si="121"/>
        <v>0.12376574895707919</v>
      </c>
      <c r="BD89" s="180"/>
      <c r="BE89" s="547">
        <f t="shared" si="122"/>
        <v>7.0370988999318455E-3</v>
      </c>
      <c r="BF89" s="547">
        <f t="shared" si="123"/>
        <v>5.2530456576956028E-2</v>
      </c>
      <c r="BG89" s="547">
        <f t="shared" si="124"/>
        <v>4.1050476562905242E-3</v>
      </c>
      <c r="BH89" s="547">
        <f t="shared" si="125"/>
        <v>2.5991051765136271E-2</v>
      </c>
      <c r="BI89">
        <f t="shared" si="126"/>
        <v>6.96E-3</v>
      </c>
      <c r="BJ89" s="473">
        <f t="shared" si="144"/>
        <v>96.623654898314669</v>
      </c>
      <c r="BK89" s="180">
        <f t="shared" si="127"/>
        <v>2.9399999999999999E-2</v>
      </c>
      <c r="BL89" s="180">
        <f t="shared" si="128"/>
        <v>2.9399999999999999E-2</v>
      </c>
      <c r="BM89" s="547"/>
      <c r="BO89" s="473">
        <f t="shared" si="145"/>
        <v>58.8</v>
      </c>
      <c r="BP89" s="547">
        <f t="shared" si="129"/>
        <v>2.2116596542642946E-3</v>
      </c>
      <c r="BQ89" s="547">
        <f t="shared" si="130"/>
        <v>5.1265436682065705E-4</v>
      </c>
      <c r="BR89" s="547">
        <f t="shared" si="131"/>
        <v>4.5953881844720243E-4</v>
      </c>
      <c r="BS89" s="547">
        <f t="shared" si="132"/>
        <v>1.1927877471459731E-2</v>
      </c>
      <c r="BT89" s="657">
        <f t="shared" si="133"/>
        <v>6.1047283255148126E-2</v>
      </c>
      <c r="BU89" s="473">
        <f t="shared" si="146"/>
        <v>76.159013566140004</v>
      </c>
      <c r="BV89" s="180">
        <f t="shared" si="147"/>
        <v>0.23158266846445469</v>
      </c>
      <c r="BW89" s="5">
        <f t="shared" si="148"/>
        <v>1.7892000000000001</v>
      </c>
      <c r="BX89" s="180">
        <f t="shared" si="149"/>
        <v>0.88539951768270608</v>
      </c>
      <c r="BY89" s="5">
        <f t="shared" si="150"/>
        <v>88.539951768270612</v>
      </c>
      <c r="BZ89">
        <f t="shared" si="151"/>
        <v>84</v>
      </c>
      <c r="CB89" s="582">
        <f t="shared" si="134"/>
        <v>-50</v>
      </c>
      <c r="CC89">
        <f t="shared" si="135"/>
        <v>-50</v>
      </c>
    </row>
    <row r="90" spans="5:81" x14ac:dyDescent="0.25">
      <c r="E90" s="177">
        <v>85</v>
      </c>
      <c r="F90" s="224">
        <f t="shared" si="152"/>
        <v>8.5000000000000006E-2</v>
      </c>
      <c r="G90" s="224">
        <f t="shared" si="136"/>
        <v>8.5000000000000006E-2</v>
      </c>
      <c r="H90" s="224">
        <f t="shared" si="91"/>
        <v>0.53549999999999998</v>
      </c>
      <c r="I90" s="224">
        <f t="shared" si="153"/>
        <v>1.2750000000000001</v>
      </c>
      <c r="J90" s="560">
        <f t="shared" si="92"/>
        <v>24</v>
      </c>
      <c r="K90" s="455">
        <f t="shared" si="93"/>
        <v>13.1</v>
      </c>
      <c r="L90" s="455">
        <f t="shared" si="94"/>
        <v>37.1</v>
      </c>
      <c r="M90" s="455"/>
      <c r="N90" s="224">
        <f t="shared" si="95"/>
        <v>0.35309973045822102</v>
      </c>
      <c r="O90" s="179">
        <f t="shared" si="137"/>
        <v>1.6354982726547966</v>
      </c>
      <c r="P90" s="179">
        <f t="shared" si="96"/>
        <v>3.8940435063209446</v>
      </c>
      <c r="Q90" s="224">
        <f t="shared" si="97"/>
        <v>0.25960290042139628</v>
      </c>
      <c r="R90" s="224">
        <f t="shared" si="98"/>
        <v>0.10903321817698644</v>
      </c>
      <c r="S90" s="455">
        <f t="shared" si="99"/>
        <v>6.3</v>
      </c>
      <c r="T90" s="224">
        <f t="shared" si="100"/>
        <v>0.47476357082273118</v>
      </c>
      <c r="U90" s="224">
        <f t="shared" si="101"/>
        <v>1.0879998498020924</v>
      </c>
      <c r="V90" s="224">
        <f t="shared" si="102"/>
        <v>1.9932821675763523</v>
      </c>
      <c r="W90" s="204">
        <f t="shared" si="103"/>
        <v>350</v>
      </c>
      <c r="X90" s="455">
        <f t="shared" si="138"/>
        <v>324.54023823849792</v>
      </c>
      <c r="Z90" s="224">
        <f t="shared" si="104"/>
        <v>0.44022823537648331</v>
      </c>
      <c r="AA90" s="180">
        <f t="shared" si="105"/>
        <v>1.8482864844050828</v>
      </c>
      <c r="AB90" s="180">
        <f t="shared" si="106"/>
        <v>8.4231817558083441E-2</v>
      </c>
      <c r="AC90" s="180"/>
      <c r="AD90" s="180">
        <f t="shared" si="107"/>
        <v>1.217557251908397</v>
      </c>
      <c r="AE90" s="564">
        <f t="shared" si="108"/>
        <v>813.89914089081742</v>
      </c>
      <c r="AF90" s="547">
        <f t="shared" si="109"/>
        <v>3.6552440597785188E-2</v>
      </c>
      <c r="AH90" s="180">
        <f t="shared" si="110"/>
        <v>0.43370946047313302</v>
      </c>
      <c r="AI90" s="180">
        <f t="shared" si="111"/>
        <v>0.47476357082273118</v>
      </c>
      <c r="AJ90" s="180">
        <f t="shared" si="112"/>
        <v>1.3368619043131342</v>
      </c>
      <c r="AL90" s="564">
        <f t="shared" si="113"/>
        <v>85</v>
      </c>
      <c r="AM90" s="473">
        <f t="shared" si="114"/>
        <v>324.54023823849792</v>
      </c>
      <c r="AO90">
        <f t="shared" si="139"/>
        <v>85</v>
      </c>
      <c r="AP90">
        <f t="shared" si="115"/>
        <v>324.54023823849792</v>
      </c>
      <c r="AR90" s="5">
        <f t="shared" si="140"/>
        <v>3.0812820173784448</v>
      </c>
      <c r="AS90" s="5">
        <f t="shared" si="116"/>
        <v>1.0879998498020924</v>
      </c>
      <c r="AT90" s="5">
        <f t="shared" si="141"/>
        <v>1.9932821675763523</v>
      </c>
      <c r="AU90" s="180">
        <f t="shared" si="142"/>
        <v>0.35309973045822102</v>
      </c>
      <c r="AW90" s="5">
        <f t="shared" si="117"/>
        <v>1.4679363052885375</v>
      </c>
      <c r="AX90" s="5">
        <f t="shared" si="118"/>
        <v>0.61653324822118571</v>
      </c>
      <c r="AY90" s="5">
        <f t="shared" si="119"/>
        <v>4.118065589263644E-2</v>
      </c>
      <c r="AZ90" s="5"/>
      <c r="BA90" s="180">
        <f t="shared" si="143"/>
        <v>0.16287913463428844</v>
      </c>
      <c r="BB90" s="180">
        <f t="shared" si="120"/>
        <v>0.13041464634176111</v>
      </c>
      <c r="BC90" s="180">
        <f t="shared" si="121"/>
        <v>0.13336704661023191</v>
      </c>
      <c r="BD90" s="180"/>
      <c r="BE90" s="547">
        <f t="shared" si="122"/>
        <v>9.2853643747251302E-3</v>
      </c>
      <c r="BF90" s="547">
        <f t="shared" si="123"/>
        <v>5.7163636363636361E-2</v>
      </c>
      <c r="BG90" s="547">
        <f t="shared" si="124"/>
        <v>4.0567529779812241E-3</v>
      </c>
      <c r="BH90" s="547">
        <f t="shared" si="125"/>
        <v>2.568527468554643E-2</v>
      </c>
      <c r="BI90">
        <f t="shared" si="126"/>
        <v>6.96E-3</v>
      </c>
      <c r="BJ90" s="473">
        <f t="shared" si="144"/>
        <v>103.15102840188914</v>
      </c>
      <c r="BK90" s="180">
        <f t="shared" si="127"/>
        <v>2.9749999999999999E-2</v>
      </c>
      <c r="BL90" s="180">
        <f t="shared" si="128"/>
        <v>2.9749999999999999E-2</v>
      </c>
      <c r="BM90" s="547"/>
      <c r="BO90" s="473">
        <f t="shared" si="145"/>
        <v>59.5</v>
      </c>
      <c r="BP90" s="547">
        <f t="shared" si="129"/>
        <v>2.9182573749136128E-3</v>
      </c>
      <c r="BQ90" s="547">
        <f t="shared" si="130"/>
        <v>5.9527929931563195E-4</v>
      </c>
      <c r="BR90" s="547">
        <f t="shared" si="131"/>
        <v>5.3360307364607319E-4</v>
      </c>
      <c r="BS90" s="547">
        <f t="shared" si="132"/>
        <v>1.47344812340245E-2</v>
      </c>
      <c r="BT90" s="657">
        <f t="shared" si="133"/>
        <v>7.3151515151515162E-2</v>
      </c>
      <c r="BU90" s="473">
        <f t="shared" si="146"/>
        <v>91.933136133414976</v>
      </c>
      <c r="BV90" s="180">
        <f t="shared" si="147"/>
        <v>0.25458416453530408</v>
      </c>
      <c r="BW90" s="5">
        <f t="shared" si="148"/>
        <v>1.8105000000000002</v>
      </c>
      <c r="BX90" s="180">
        <f t="shared" si="149"/>
        <v>0.876719714911672</v>
      </c>
      <c r="BY90" s="5">
        <f t="shared" si="150"/>
        <v>87.671971491167199</v>
      </c>
      <c r="BZ90">
        <f t="shared" si="151"/>
        <v>85</v>
      </c>
      <c r="CB90" s="582">
        <f t="shared" si="134"/>
        <v>-50</v>
      </c>
      <c r="CC90">
        <f t="shared" si="135"/>
        <v>-50</v>
      </c>
    </row>
    <row r="91" spans="5:81" x14ac:dyDescent="0.25">
      <c r="E91" s="177">
        <v>86</v>
      </c>
      <c r="F91" s="224">
        <f t="shared" si="152"/>
        <v>8.6000000000000007E-2</v>
      </c>
      <c r="G91" s="224">
        <f t="shared" si="136"/>
        <v>8.6000000000000007E-2</v>
      </c>
      <c r="H91" s="224">
        <f t="shared" si="91"/>
        <v>0.54180000000000006</v>
      </c>
      <c r="I91" s="224">
        <f t="shared" si="153"/>
        <v>1.29</v>
      </c>
      <c r="J91" s="560">
        <f t="shared" si="92"/>
        <v>24</v>
      </c>
      <c r="K91" s="455">
        <f t="shared" si="93"/>
        <v>13.1</v>
      </c>
      <c r="L91" s="455">
        <f t="shared" si="94"/>
        <v>37.1</v>
      </c>
      <c r="M91" s="455"/>
      <c r="N91" s="224">
        <f t="shared" si="95"/>
        <v>0.35309973045822102</v>
      </c>
      <c r="O91" s="179">
        <f t="shared" si="137"/>
        <v>1.6354982726547966</v>
      </c>
      <c r="P91" s="179">
        <f t="shared" si="96"/>
        <v>3.8940435063209446</v>
      </c>
      <c r="Q91" s="224">
        <f t="shared" si="97"/>
        <v>0.25960290042139628</v>
      </c>
      <c r="R91" s="224">
        <f t="shared" si="98"/>
        <v>0.10903321817698644</v>
      </c>
      <c r="S91" s="455">
        <f t="shared" si="99"/>
        <v>6.3</v>
      </c>
      <c r="T91" s="224">
        <f t="shared" si="100"/>
        <v>0.4803490245971162</v>
      </c>
      <c r="U91" s="224">
        <f t="shared" si="101"/>
        <v>1.100799848035058</v>
      </c>
      <c r="V91" s="224">
        <f t="shared" si="102"/>
        <v>2.0167325460184271</v>
      </c>
      <c r="W91" s="204">
        <f t="shared" si="103"/>
        <v>350</v>
      </c>
      <c r="X91" s="455">
        <f t="shared" si="138"/>
        <v>320.76651453805027</v>
      </c>
      <c r="Z91" s="224">
        <f t="shared" si="104"/>
        <v>0.44022823537648331</v>
      </c>
      <c r="AA91" s="180">
        <f t="shared" si="105"/>
        <v>1.8482864844050828</v>
      </c>
      <c r="AB91" s="180">
        <f t="shared" si="106"/>
        <v>8.4231817558083441E-2</v>
      </c>
      <c r="AC91" s="180"/>
      <c r="AD91" s="180">
        <f t="shared" si="107"/>
        <v>1.217557251908397</v>
      </c>
      <c r="AE91" s="564">
        <f t="shared" si="108"/>
        <v>823.47442490129754</v>
      </c>
      <c r="AF91" s="547">
        <f t="shared" si="109"/>
        <v>3.6552440597785188E-2</v>
      </c>
      <c r="AH91" s="180">
        <f t="shared" si="110"/>
        <v>0.43625323278674183</v>
      </c>
      <c r="AI91" s="180">
        <f t="shared" si="111"/>
        <v>0.4803490245971162</v>
      </c>
      <c r="AJ91" s="180">
        <f t="shared" si="112"/>
        <v>1.3409992774793453</v>
      </c>
      <c r="AL91" s="564">
        <f t="shared" si="113"/>
        <v>86</v>
      </c>
      <c r="AM91" s="473">
        <f t="shared" si="114"/>
        <v>320.76651453805027</v>
      </c>
      <c r="AO91">
        <f t="shared" si="139"/>
        <v>86</v>
      </c>
      <c r="AP91">
        <f t="shared" si="115"/>
        <v>320.76651453805027</v>
      </c>
      <c r="AR91" s="5">
        <f t="shared" si="140"/>
        <v>3.1175323940534851</v>
      </c>
      <c r="AS91" s="5">
        <f t="shared" si="116"/>
        <v>1.100799848035058</v>
      </c>
      <c r="AT91" s="5">
        <f t="shared" si="141"/>
        <v>2.0167325460184271</v>
      </c>
      <c r="AU91" s="180">
        <f t="shared" si="142"/>
        <v>0.35309973045822102</v>
      </c>
      <c r="AW91" s="5">
        <f t="shared" si="117"/>
        <v>1.5026791576351586</v>
      </c>
      <c r="AX91" s="5">
        <f t="shared" si="118"/>
        <v>0.63112524620676658</v>
      </c>
      <c r="AY91" s="5">
        <f t="shared" si="119"/>
        <v>4.2155312246635178E-2</v>
      </c>
      <c r="AZ91" s="5"/>
      <c r="BA91" s="180">
        <f t="shared" si="143"/>
        <v>0.16479535974763299</v>
      </c>
      <c r="BB91" s="180">
        <f t="shared" si="120"/>
        <v>0.13194893629872298</v>
      </c>
      <c r="BC91" s="180">
        <f t="shared" si="121"/>
        <v>0.13493607068799929</v>
      </c>
      <c r="BD91" s="180"/>
      <c r="BE91" s="547">
        <f t="shared" si="122"/>
        <v>9.5051287080231209E-3</v>
      </c>
      <c r="BF91" s="547">
        <f t="shared" si="123"/>
        <v>5.7163636363636361E-2</v>
      </c>
      <c r="BG91" s="547">
        <f t="shared" si="124"/>
        <v>4.0095814317256282E-3</v>
      </c>
      <c r="BH91" s="547">
        <f t="shared" si="125"/>
        <v>2.5386608700830773E-2</v>
      </c>
      <c r="BI91">
        <f t="shared" si="126"/>
        <v>6.96E-3</v>
      </c>
      <c r="BJ91" s="473">
        <f t="shared" si="144"/>
        <v>103.02495520421587</v>
      </c>
      <c r="BK91" s="180">
        <f t="shared" si="127"/>
        <v>3.0100000000000002E-2</v>
      </c>
      <c r="BL91" s="180">
        <f t="shared" si="128"/>
        <v>3.0100000000000002E-2</v>
      </c>
      <c r="BM91" s="547"/>
      <c r="BO91" s="473">
        <f t="shared" si="145"/>
        <v>60.2</v>
      </c>
      <c r="BP91" s="547">
        <f t="shared" si="129"/>
        <v>2.9873261653786953E-3</v>
      </c>
      <c r="BQ91" s="547">
        <f t="shared" si="130"/>
        <v>6.0936826266275602E-4</v>
      </c>
      <c r="BR91" s="547">
        <f t="shared" si="131"/>
        <v>5.4623229518150219E-4</v>
      </c>
      <c r="BS91" s="547">
        <f t="shared" si="132"/>
        <v>1.4734481234024472E-2</v>
      </c>
      <c r="BT91" s="657">
        <f t="shared" si="133"/>
        <v>7.401212121212121E-2</v>
      </c>
      <c r="BU91" s="473">
        <f t="shared" si="146"/>
        <v>92.889529169368629</v>
      </c>
      <c r="BV91" s="180">
        <f t="shared" si="147"/>
        <v>0.25611448437358447</v>
      </c>
      <c r="BW91" s="5">
        <f t="shared" si="148"/>
        <v>1.8318000000000001</v>
      </c>
      <c r="BX91" s="180">
        <f t="shared" si="149"/>
        <v>0.87733478248730878</v>
      </c>
      <c r="BY91" s="5">
        <f t="shared" si="150"/>
        <v>87.733478248730876</v>
      </c>
      <c r="BZ91">
        <f t="shared" si="151"/>
        <v>86</v>
      </c>
      <c r="CB91" s="582">
        <f t="shared" si="134"/>
        <v>-50</v>
      </c>
      <c r="CC91">
        <f t="shared" si="135"/>
        <v>-50</v>
      </c>
    </row>
    <row r="92" spans="5:81" x14ac:dyDescent="0.25">
      <c r="E92" s="177">
        <v>87</v>
      </c>
      <c r="F92" s="224">
        <f t="shared" si="152"/>
        <v>8.7000000000000008E-2</v>
      </c>
      <c r="G92" s="224">
        <f t="shared" si="136"/>
        <v>8.7000000000000008E-2</v>
      </c>
      <c r="H92" s="224">
        <f t="shared" si="91"/>
        <v>0.54810000000000003</v>
      </c>
      <c r="I92" s="224">
        <f t="shared" si="153"/>
        <v>1.3050000000000002</v>
      </c>
      <c r="J92" s="560">
        <f t="shared" si="92"/>
        <v>24</v>
      </c>
      <c r="K92" s="455">
        <f t="shared" si="93"/>
        <v>13.1</v>
      </c>
      <c r="L92" s="455">
        <f t="shared" si="94"/>
        <v>37.1</v>
      </c>
      <c r="M92" s="455"/>
      <c r="N92" s="224">
        <f t="shared" si="95"/>
        <v>0.35309973045822102</v>
      </c>
      <c r="O92" s="179">
        <f t="shared" si="137"/>
        <v>1.6354982726547966</v>
      </c>
      <c r="P92" s="179">
        <f t="shared" si="96"/>
        <v>3.8940435063209446</v>
      </c>
      <c r="Q92" s="224">
        <f t="shared" si="97"/>
        <v>0.25960290042139628</v>
      </c>
      <c r="R92" s="224">
        <f t="shared" si="98"/>
        <v>0.10903321817698644</v>
      </c>
      <c r="S92" s="455">
        <f t="shared" si="99"/>
        <v>6.3</v>
      </c>
      <c r="T92" s="224">
        <f t="shared" si="100"/>
        <v>0.48593447837150128</v>
      </c>
      <c r="U92" s="224">
        <f t="shared" si="101"/>
        <v>1.1135998462680237</v>
      </c>
      <c r="V92" s="224">
        <f t="shared" si="102"/>
        <v>2.0401829244605016</v>
      </c>
      <c r="W92" s="204">
        <f t="shared" si="103"/>
        <v>350</v>
      </c>
      <c r="X92" s="455">
        <f t="shared" si="138"/>
        <v>317.07954310657857</v>
      </c>
      <c r="Z92" s="224">
        <f t="shared" si="104"/>
        <v>0.44022823537648331</v>
      </c>
      <c r="AA92" s="180">
        <f t="shared" si="105"/>
        <v>1.8482864844050828</v>
      </c>
      <c r="AB92" s="180">
        <f t="shared" si="106"/>
        <v>8.4231817558083441E-2</v>
      </c>
      <c r="AC92" s="180"/>
      <c r="AD92" s="180">
        <f t="shared" si="107"/>
        <v>1.217557251908397</v>
      </c>
      <c r="AE92" s="564">
        <f t="shared" si="108"/>
        <v>833.04970891177777</v>
      </c>
      <c r="AF92" s="547">
        <f t="shared" si="109"/>
        <v>3.6552440597785188E-2</v>
      </c>
      <c r="AH92" s="180">
        <f t="shared" si="110"/>
        <v>0.43878225822139866</v>
      </c>
      <c r="AI92" s="180">
        <f t="shared" si="111"/>
        <v>0.48593447837150128</v>
      </c>
      <c r="AJ92" s="180">
        <f t="shared" si="112"/>
        <v>1.3451366506455564</v>
      </c>
      <c r="AL92" s="564">
        <f t="shared" si="113"/>
        <v>87.000000000000014</v>
      </c>
      <c r="AM92" s="473">
        <f t="shared" si="114"/>
        <v>317.07954310657857</v>
      </c>
      <c r="AO92">
        <f t="shared" si="139"/>
        <v>87.000000000000014</v>
      </c>
      <c r="AP92">
        <f t="shared" si="115"/>
        <v>317.07954310657857</v>
      </c>
      <c r="AR92" s="5">
        <f t="shared" si="140"/>
        <v>3.1537827707285242</v>
      </c>
      <c r="AS92" s="5">
        <f t="shared" si="116"/>
        <v>1.1135998462680237</v>
      </c>
      <c r="AT92" s="5">
        <f t="shared" si="141"/>
        <v>2.0401829244605008</v>
      </c>
      <c r="AU92" s="180">
        <f t="shared" si="142"/>
        <v>0.35309973045822113</v>
      </c>
      <c r="AW92" s="5">
        <f t="shared" si="117"/>
        <v>1.537828359132033</v>
      </c>
      <c r="AX92" s="5">
        <f t="shared" si="118"/>
        <v>0.64588791083545372</v>
      </c>
      <c r="AY92" s="5">
        <f t="shared" si="119"/>
        <v>4.3141368090154328E-2</v>
      </c>
      <c r="AZ92" s="5"/>
      <c r="BA92" s="180">
        <f t="shared" si="143"/>
        <v>0.16671158486097759</v>
      </c>
      <c r="BB92" s="180">
        <f t="shared" si="120"/>
        <v>0.13348322625568487</v>
      </c>
      <c r="BC92" s="180">
        <f t="shared" si="121"/>
        <v>0.13650509476576675</v>
      </c>
      <c r="BD92" s="180"/>
      <c r="BE92" s="547">
        <f t="shared" si="122"/>
        <v>9.7274633844006263E-3</v>
      </c>
      <c r="BF92" s="547">
        <f t="shared" si="123"/>
        <v>5.7163636363636375E-2</v>
      </c>
      <c r="BG92" s="547">
        <f t="shared" si="124"/>
        <v>3.9634942888322321E-3</v>
      </c>
      <c r="BH92" s="547">
        <f t="shared" si="125"/>
        <v>2.5094808600821236E-2</v>
      </c>
      <c r="BI92">
        <f t="shared" si="126"/>
        <v>6.96E-3</v>
      </c>
      <c r="BJ92" s="473">
        <f t="shared" si="144"/>
        <v>102.90940263769046</v>
      </c>
      <c r="BK92" s="180">
        <f t="shared" si="127"/>
        <v>3.0450000000000001E-2</v>
      </c>
      <c r="BL92" s="180">
        <f t="shared" si="128"/>
        <v>3.0450000000000001E-2</v>
      </c>
      <c r="BM92" s="547"/>
      <c r="BO92" s="473">
        <f t="shared" si="145"/>
        <v>60.900000000000006</v>
      </c>
      <c r="BP92" s="547">
        <f t="shared" si="129"/>
        <v>3.0572027779544827E-3</v>
      </c>
      <c r="BQ92" s="547">
        <f t="shared" si="130"/>
        <v>6.2362200920692266E-4</v>
      </c>
      <c r="BR92" s="547">
        <f t="shared" si="131"/>
        <v>5.5900922691032881E-4</v>
      </c>
      <c r="BS92" s="547">
        <f t="shared" si="132"/>
        <v>1.4734481234024509E-2</v>
      </c>
      <c r="BT92" s="657">
        <f t="shared" si="133"/>
        <v>7.4872727272727313E-2</v>
      </c>
      <c r="BU92" s="473">
        <f t="shared" si="146"/>
        <v>93.84704252082355</v>
      </c>
      <c r="BV92" s="180">
        <f t="shared" si="147"/>
        <v>0.25765644515851405</v>
      </c>
      <c r="BW92" s="5">
        <f t="shared" si="148"/>
        <v>1.8531000000000002</v>
      </c>
      <c r="BX92" s="180">
        <f t="shared" si="149"/>
        <v>0.87793170275542398</v>
      </c>
      <c r="BY92" s="5">
        <f t="shared" si="150"/>
        <v>87.793170275542394</v>
      </c>
      <c r="BZ92">
        <f t="shared" si="151"/>
        <v>87</v>
      </c>
      <c r="CB92" s="582">
        <f t="shared" si="134"/>
        <v>-50</v>
      </c>
      <c r="CC92">
        <f t="shared" si="135"/>
        <v>-50</v>
      </c>
    </row>
    <row r="93" spans="5:81" x14ac:dyDescent="0.25">
      <c r="E93" s="177">
        <v>88</v>
      </c>
      <c r="F93" s="224">
        <f t="shared" si="152"/>
        <v>8.8000000000000009E-2</v>
      </c>
      <c r="G93" s="224">
        <f t="shared" si="136"/>
        <v>8.8000000000000009E-2</v>
      </c>
      <c r="H93" s="224">
        <f t="shared" si="91"/>
        <v>0.5544</v>
      </c>
      <c r="I93" s="224">
        <f t="shared" si="153"/>
        <v>1.32</v>
      </c>
      <c r="J93" s="560">
        <f t="shared" si="92"/>
        <v>24</v>
      </c>
      <c r="K93" s="455">
        <f t="shared" si="93"/>
        <v>13.1</v>
      </c>
      <c r="L93" s="455">
        <f t="shared" si="94"/>
        <v>37.1</v>
      </c>
      <c r="M93" s="455"/>
      <c r="N93" s="224">
        <f t="shared" si="95"/>
        <v>0.35309973045822102</v>
      </c>
      <c r="O93" s="179">
        <f t="shared" si="137"/>
        <v>1.6354982726547966</v>
      </c>
      <c r="P93" s="179">
        <f t="shared" si="96"/>
        <v>3.8940435063209446</v>
      </c>
      <c r="Q93" s="224">
        <f t="shared" si="97"/>
        <v>0.25960290042139628</v>
      </c>
      <c r="R93" s="224">
        <f t="shared" si="98"/>
        <v>0.10903321817698644</v>
      </c>
      <c r="S93" s="455">
        <f t="shared" si="99"/>
        <v>6.3</v>
      </c>
      <c r="T93" s="224">
        <f t="shared" si="100"/>
        <v>0.49151993214588635</v>
      </c>
      <c r="U93" s="224">
        <f t="shared" si="101"/>
        <v>1.1263998445009895</v>
      </c>
      <c r="V93" s="224">
        <f t="shared" si="102"/>
        <v>2.0636333029025762</v>
      </c>
      <c r="W93" s="204">
        <f t="shared" si="103"/>
        <v>350</v>
      </c>
      <c r="X93" s="455">
        <f t="shared" si="138"/>
        <v>313.4763664803674</v>
      </c>
      <c r="Z93" s="224">
        <f t="shared" si="104"/>
        <v>0.44022823537648331</v>
      </c>
      <c r="AA93" s="180">
        <f t="shared" si="105"/>
        <v>1.8482864844050828</v>
      </c>
      <c r="AB93" s="180">
        <f t="shared" si="106"/>
        <v>8.4231817558083441E-2</v>
      </c>
      <c r="AC93" s="180"/>
      <c r="AD93" s="180">
        <f t="shared" si="107"/>
        <v>1.217557251908397</v>
      </c>
      <c r="AE93" s="564">
        <f t="shared" si="108"/>
        <v>842.62499292225789</v>
      </c>
      <c r="AF93" s="547">
        <f t="shared" si="109"/>
        <v>3.6552440597785188E-2</v>
      </c>
      <c r="AH93" s="180">
        <f t="shared" si="110"/>
        <v>0.44129679031560742</v>
      </c>
      <c r="AI93" s="180">
        <f t="shared" si="111"/>
        <v>0.49151993214588635</v>
      </c>
      <c r="AJ93" s="180">
        <f t="shared" si="112"/>
        <v>1.3492740238117675</v>
      </c>
      <c r="AL93" s="564">
        <f t="shared" si="113"/>
        <v>88.000000000000014</v>
      </c>
      <c r="AM93" s="473">
        <f t="shared" si="114"/>
        <v>313.4763664803674</v>
      </c>
      <c r="AO93">
        <f t="shared" si="139"/>
        <v>88.000000000000014</v>
      </c>
      <c r="AP93">
        <f t="shared" si="115"/>
        <v>313.4763664803674</v>
      </c>
      <c r="AR93" s="5">
        <f t="shared" si="140"/>
        <v>3.1900331474035655</v>
      </c>
      <c r="AS93" s="5">
        <f t="shared" si="116"/>
        <v>1.1263998445009895</v>
      </c>
      <c r="AT93" s="5">
        <f t="shared" si="141"/>
        <v>2.0636333029025762</v>
      </c>
      <c r="AU93" s="180">
        <f t="shared" si="142"/>
        <v>0.35309973045822107</v>
      </c>
      <c r="AW93" s="5">
        <f t="shared" si="117"/>
        <v>1.5733839097791602</v>
      </c>
      <c r="AX93" s="5">
        <f t="shared" si="118"/>
        <v>0.66082124210724724</v>
      </c>
      <c r="AY93" s="5">
        <f t="shared" si="119"/>
        <v>4.4138823423193987E-2</v>
      </c>
      <c r="AZ93" s="5"/>
      <c r="BA93" s="180">
        <f t="shared" si="143"/>
        <v>0.16862780997432211</v>
      </c>
      <c r="BB93" s="180">
        <f t="shared" si="120"/>
        <v>0.13501751621264677</v>
      </c>
      <c r="BC93" s="180">
        <f t="shared" si="121"/>
        <v>0.13807411884353415</v>
      </c>
      <c r="BD93" s="180"/>
      <c r="BE93" s="547">
        <f t="shared" si="122"/>
        <v>9.952368403857631E-3</v>
      </c>
      <c r="BF93" s="547">
        <f t="shared" si="123"/>
        <v>5.7163636363636368E-2</v>
      </c>
      <c r="BG93" s="547">
        <f t="shared" si="124"/>
        <v>3.9184545810045926E-3</v>
      </c>
      <c r="BH93" s="547">
        <f t="shared" si="125"/>
        <v>2.4809640321266445E-2</v>
      </c>
      <c r="BI93">
        <f t="shared" si="126"/>
        <v>6.96E-3</v>
      </c>
      <c r="BJ93" s="473">
        <f t="shared" si="144"/>
        <v>102.80409966976504</v>
      </c>
      <c r="BK93" s="180">
        <f t="shared" si="127"/>
        <v>3.0800000000000001E-2</v>
      </c>
      <c r="BL93" s="180">
        <f t="shared" si="128"/>
        <v>3.0800000000000001E-2</v>
      </c>
      <c r="BM93" s="547"/>
      <c r="BO93" s="473">
        <f t="shared" si="145"/>
        <v>61.6</v>
      </c>
      <c r="BP93" s="547">
        <f t="shared" si="129"/>
        <v>3.1278872126409697E-3</v>
      </c>
      <c r="BQ93" s="547">
        <f t="shared" si="130"/>
        <v>6.3804053894813166E-4</v>
      </c>
      <c r="BR93" s="547">
        <f t="shared" si="131"/>
        <v>5.7193386883255175E-4</v>
      </c>
      <c r="BS93" s="547">
        <f t="shared" si="132"/>
        <v>1.4734481234024479E-2</v>
      </c>
      <c r="BT93" s="657">
        <f t="shared" si="133"/>
        <v>7.5733333333333361E-2</v>
      </c>
      <c r="BU93" s="473">
        <f t="shared" si="146"/>
        <v>94.805676187779497</v>
      </c>
      <c r="BV93" s="180">
        <f t="shared" si="147"/>
        <v>0.25920977585754451</v>
      </c>
      <c r="BW93" s="5">
        <f t="shared" si="148"/>
        <v>1.8744000000000001</v>
      </c>
      <c r="BX93" s="180">
        <f t="shared" si="149"/>
        <v>0.87851116038622268</v>
      </c>
      <c r="BY93" s="5">
        <f t="shared" si="150"/>
        <v>87.851116038622266</v>
      </c>
      <c r="BZ93">
        <f t="shared" si="151"/>
        <v>88</v>
      </c>
      <c r="CB93" s="582">
        <f t="shared" si="134"/>
        <v>-50</v>
      </c>
      <c r="CC93">
        <f t="shared" si="135"/>
        <v>-50</v>
      </c>
    </row>
    <row r="94" spans="5:81" x14ac:dyDescent="0.25">
      <c r="E94" s="177">
        <v>89</v>
      </c>
      <c r="F94" s="224">
        <f t="shared" si="152"/>
        <v>8.900000000000001E-2</v>
      </c>
      <c r="G94" s="224">
        <f t="shared" si="136"/>
        <v>8.900000000000001E-2</v>
      </c>
      <c r="H94" s="224">
        <f t="shared" si="91"/>
        <v>0.56070000000000009</v>
      </c>
      <c r="I94" s="224">
        <f t="shared" si="153"/>
        <v>1.3350000000000002</v>
      </c>
      <c r="J94" s="560">
        <f t="shared" si="92"/>
        <v>24</v>
      </c>
      <c r="K94" s="455">
        <f t="shared" si="93"/>
        <v>13.1</v>
      </c>
      <c r="L94" s="455">
        <f t="shared" si="94"/>
        <v>37.1</v>
      </c>
      <c r="M94" s="455"/>
      <c r="N94" s="224">
        <f t="shared" si="95"/>
        <v>0.35309973045822102</v>
      </c>
      <c r="O94" s="179">
        <f t="shared" si="137"/>
        <v>1.6354982726547966</v>
      </c>
      <c r="P94" s="179">
        <f t="shared" si="96"/>
        <v>3.8940435063209446</v>
      </c>
      <c r="Q94" s="224">
        <f t="shared" si="97"/>
        <v>0.25960290042139628</v>
      </c>
      <c r="R94" s="224">
        <f t="shared" si="98"/>
        <v>0.10903321817698644</v>
      </c>
      <c r="S94" s="455">
        <f t="shared" si="99"/>
        <v>6.3</v>
      </c>
      <c r="T94" s="224">
        <f t="shared" si="100"/>
        <v>0.49710538592027143</v>
      </c>
      <c r="U94" s="224">
        <f t="shared" si="101"/>
        <v>1.1391998427339554</v>
      </c>
      <c r="V94" s="224">
        <f t="shared" si="102"/>
        <v>2.0870836813446512</v>
      </c>
      <c r="W94" s="204">
        <f t="shared" si="103"/>
        <v>350</v>
      </c>
      <c r="X94" s="455">
        <f t="shared" si="138"/>
        <v>309.95416011541937</v>
      </c>
      <c r="Z94" s="224">
        <f t="shared" si="104"/>
        <v>0.44022823537648331</v>
      </c>
      <c r="AA94" s="180">
        <f t="shared" si="105"/>
        <v>1.8482864844050828</v>
      </c>
      <c r="AB94" s="180">
        <f t="shared" si="106"/>
        <v>8.4231817558083441E-2</v>
      </c>
      <c r="AC94" s="180"/>
      <c r="AD94" s="180">
        <f t="shared" si="107"/>
        <v>1.217557251908397</v>
      </c>
      <c r="AE94" s="564">
        <f t="shared" si="108"/>
        <v>852.20027693273823</v>
      </c>
      <c r="AF94" s="547">
        <f t="shared" si="109"/>
        <v>3.6552440597785188E-2</v>
      </c>
      <c r="AH94" s="180">
        <f t="shared" si="110"/>
        <v>0.44379707542506874</v>
      </c>
      <c r="AI94" s="180">
        <f t="shared" si="111"/>
        <v>0.49710538592027143</v>
      </c>
      <c r="AJ94" s="180">
        <f t="shared" si="112"/>
        <v>1.3534113969779789</v>
      </c>
      <c r="AL94" s="564">
        <f t="shared" si="113"/>
        <v>89.000000000000014</v>
      </c>
      <c r="AM94" s="473">
        <f t="shared" si="114"/>
        <v>309.95416011541937</v>
      </c>
      <c r="AO94">
        <f t="shared" si="139"/>
        <v>89.000000000000014</v>
      </c>
      <c r="AP94">
        <f t="shared" si="115"/>
        <v>309.95416011541937</v>
      </c>
      <c r="AR94" s="5">
        <f t="shared" si="140"/>
        <v>3.2262835240786067</v>
      </c>
      <c r="AS94" s="5">
        <f t="shared" si="116"/>
        <v>1.1391998427339554</v>
      </c>
      <c r="AT94" s="5">
        <f t="shared" si="141"/>
        <v>2.0870836813446516</v>
      </c>
      <c r="AU94" s="180">
        <f t="shared" si="142"/>
        <v>0.35309973045822096</v>
      </c>
      <c r="AW94" s="5">
        <f t="shared" si="117"/>
        <v>1.6093458095765403</v>
      </c>
      <c r="AX94" s="5">
        <f t="shared" si="118"/>
        <v>0.67592524002214682</v>
      </c>
      <c r="AY94" s="5">
        <f t="shared" si="119"/>
        <v>4.5147678245754094E-2</v>
      </c>
      <c r="AZ94" s="5"/>
      <c r="BA94" s="180">
        <f t="shared" si="143"/>
        <v>0.17054403508766669</v>
      </c>
      <c r="BB94" s="180">
        <f t="shared" si="120"/>
        <v>0.13655180616960869</v>
      </c>
      <c r="BC94" s="180">
        <f t="shared" si="121"/>
        <v>0.13964314292130164</v>
      </c>
      <c r="BD94" s="180"/>
      <c r="BE94" s="547">
        <f t="shared" si="122"/>
        <v>1.0179843766394149E-2</v>
      </c>
      <c r="BF94" s="547">
        <f t="shared" si="123"/>
        <v>5.7163636363636361E-2</v>
      </c>
      <c r="BG94" s="547">
        <f t="shared" si="124"/>
        <v>3.8744270014427419E-3</v>
      </c>
      <c r="BH94" s="547">
        <f t="shared" si="125"/>
        <v>2.4530880317656701E-2</v>
      </c>
      <c r="BI94">
        <f t="shared" si="126"/>
        <v>6.96E-3</v>
      </c>
      <c r="BJ94" s="473">
        <f t="shared" si="144"/>
        <v>102.70878744912996</v>
      </c>
      <c r="BK94" s="180">
        <f t="shared" si="127"/>
        <v>3.1150000000000001E-2</v>
      </c>
      <c r="BL94" s="180">
        <f t="shared" si="128"/>
        <v>3.1150000000000001E-2</v>
      </c>
      <c r="BM94" s="547"/>
      <c r="BO94" s="473">
        <f t="shared" si="145"/>
        <v>62.300000000000004</v>
      </c>
      <c r="BP94" s="547">
        <f t="shared" si="129"/>
        <v>3.1993794694381615E-3</v>
      </c>
      <c r="BQ94" s="547">
        <f t="shared" si="130"/>
        <v>6.5262385188638345E-4</v>
      </c>
      <c r="BR94" s="547">
        <f t="shared" si="131"/>
        <v>5.850062209481723E-4</v>
      </c>
      <c r="BS94" s="547">
        <f t="shared" si="132"/>
        <v>1.4734481234024462E-2</v>
      </c>
      <c r="BT94" s="657">
        <f t="shared" si="133"/>
        <v>7.6593939393939395E-2</v>
      </c>
      <c r="BU94" s="473">
        <f t="shared" si="146"/>
        <v>95.76543017023657</v>
      </c>
      <c r="BV94" s="180">
        <f t="shared" si="147"/>
        <v>0.26077421761936653</v>
      </c>
      <c r="BW94" s="5">
        <f t="shared" si="148"/>
        <v>1.8957000000000002</v>
      </c>
      <c r="BX94" s="180">
        <f t="shared" si="149"/>
        <v>0.87907380691652903</v>
      </c>
      <c r="BY94" s="5">
        <f t="shared" si="150"/>
        <v>87.907380691652904</v>
      </c>
      <c r="BZ94">
        <f t="shared" si="151"/>
        <v>89</v>
      </c>
      <c r="CB94" s="582">
        <f t="shared" si="134"/>
        <v>-50</v>
      </c>
      <c r="CC94">
        <f t="shared" si="135"/>
        <v>-50</v>
      </c>
    </row>
    <row r="95" spans="5:81" x14ac:dyDescent="0.25">
      <c r="E95" s="177">
        <v>90</v>
      </c>
      <c r="F95" s="224">
        <f t="shared" si="152"/>
        <v>9.0000000000000011E-2</v>
      </c>
      <c r="G95" s="224">
        <f t="shared" si="136"/>
        <v>9.0000000000000011E-2</v>
      </c>
      <c r="H95" s="224">
        <f t="shared" si="91"/>
        <v>0.56700000000000006</v>
      </c>
      <c r="I95" s="224">
        <f t="shared" si="153"/>
        <v>1.35</v>
      </c>
      <c r="J95" s="560">
        <f t="shared" si="92"/>
        <v>24</v>
      </c>
      <c r="K95" s="455">
        <f t="shared" si="93"/>
        <v>13.1</v>
      </c>
      <c r="L95" s="455">
        <f t="shared" si="94"/>
        <v>37.1</v>
      </c>
      <c r="M95" s="455"/>
      <c r="N95" s="224">
        <f t="shared" si="95"/>
        <v>0.35309973045822102</v>
      </c>
      <c r="O95" s="179">
        <f t="shared" si="137"/>
        <v>1.6354982726547966</v>
      </c>
      <c r="P95" s="179">
        <f t="shared" si="96"/>
        <v>3.8940435063209446</v>
      </c>
      <c r="Q95" s="224">
        <f t="shared" si="97"/>
        <v>0.25960290042139628</v>
      </c>
      <c r="R95" s="224">
        <f t="shared" si="98"/>
        <v>0.10903321817698644</v>
      </c>
      <c r="S95" s="455">
        <f t="shared" si="99"/>
        <v>6.3</v>
      </c>
      <c r="T95" s="224">
        <f t="shared" si="100"/>
        <v>0.50269083969465655</v>
      </c>
      <c r="U95" s="224">
        <f t="shared" si="101"/>
        <v>1.1519998409669214</v>
      </c>
      <c r="V95" s="224">
        <f t="shared" si="102"/>
        <v>2.1105340597867261</v>
      </c>
      <c r="W95" s="204">
        <f t="shared" si="103"/>
        <v>350</v>
      </c>
      <c r="X95" s="455">
        <f t="shared" si="138"/>
        <v>306.51022500302582</v>
      </c>
      <c r="Z95" s="224">
        <f t="shared" si="104"/>
        <v>0.44022823537648331</v>
      </c>
      <c r="AA95" s="180">
        <f t="shared" si="105"/>
        <v>1.8482864844050828</v>
      </c>
      <c r="AB95" s="180">
        <f t="shared" si="106"/>
        <v>8.4231817558083441E-2</v>
      </c>
      <c r="AC95" s="180"/>
      <c r="AD95" s="180">
        <f t="shared" si="107"/>
        <v>1.217557251908397</v>
      </c>
      <c r="AE95" s="564">
        <f t="shared" si="108"/>
        <v>861.77556094321847</v>
      </c>
      <c r="AF95" s="547">
        <f t="shared" si="109"/>
        <v>3.6552440597785188E-2</v>
      </c>
      <c r="AH95" s="180">
        <f t="shared" si="110"/>
        <v>0.44628335300437905</v>
      </c>
      <c r="AI95" s="180">
        <f t="shared" si="111"/>
        <v>0.50269083969465655</v>
      </c>
      <c r="AJ95" s="180">
        <f t="shared" si="112"/>
        <v>1.35754877014419</v>
      </c>
      <c r="AL95" s="564">
        <f t="shared" si="113"/>
        <v>90.000000000000014</v>
      </c>
      <c r="AM95" s="473">
        <f t="shared" si="114"/>
        <v>306.51022500302582</v>
      </c>
      <c r="AO95">
        <f t="shared" si="139"/>
        <v>90.000000000000014</v>
      </c>
      <c r="AP95">
        <f t="shared" si="115"/>
        <v>306.51022500302582</v>
      </c>
      <c r="AR95" s="5">
        <f t="shared" si="140"/>
        <v>3.2625339007536476</v>
      </c>
      <c r="AS95" s="5">
        <f t="shared" si="116"/>
        <v>1.1519998409669214</v>
      </c>
      <c r="AT95" s="5">
        <f t="shared" si="141"/>
        <v>2.1105340597867261</v>
      </c>
      <c r="AU95" s="180">
        <f t="shared" si="142"/>
        <v>0.35309973045822102</v>
      </c>
      <c r="AW95" s="5">
        <f t="shared" si="117"/>
        <v>1.6457140585241736</v>
      </c>
      <c r="AX95" s="5">
        <f t="shared" si="118"/>
        <v>0.6911999045801529</v>
      </c>
      <c r="AY95" s="5">
        <f t="shared" si="119"/>
        <v>4.6167932557834628E-2</v>
      </c>
      <c r="AZ95" s="5"/>
      <c r="BA95" s="180">
        <f t="shared" si="143"/>
        <v>0.1724602602010113</v>
      </c>
      <c r="BB95" s="180">
        <f t="shared" si="120"/>
        <v>0.13808609612657058</v>
      </c>
      <c r="BC95" s="180">
        <f t="shared" si="121"/>
        <v>0.14121216699906905</v>
      </c>
      <c r="BD95" s="180"/>
      <c r="BE95" s="547">
        <f t="shared" si="122"/>
        <v>1.0409889472010181E-2</v>
      </c>
      <c r="BF95" s="547">
        <f t="shared" si="123"/>
        <v>5.7163636363636361E-2</v>
      </c>
      <c r="BG95" s="547">
        <f t="shared" si="124"/>
        <v>3.8313778125378226E-3</v>
      </c>
      <c r="BH95" s="547">
        <f t="shared" si="125"/>
        <v>2.4258314980793852E-2</v>
      </c>
      <c r="BI95">
        <f t="shared" si="126"/>
        <v>6.96E-3</v>
      </c>
      <c r="BJ95" s="473">
        <f t="shared" si="144"/>
        <v>102.62321862897822</v>
      </c>
      <c r="BK95" s="180">
        <f t="shared" si="127"/>
        <v>3.15E-2</v>
      </c>
      <c r="BL95" s="180">
        <f t="shared" si="128"/>
        <v>3.15E-2</v>
      </c>
      <c r="BM95" s="547"/>
      <c r="BO95" s="473">
        <f t="shared" si="145"/>
        <v>63</v>
      </c>
      <c r="BP95" s="547">
        <f t="shared" si="129"/>
        <v>3.2716795483460574E-3</v>
      </c>
      <c r="BQ95" s="547">
        <f t="shared" si="130"/>
        <v>6.6737194802167716E-4</v>
      </c>
      <c r="BR95" s="547">
        <f t="shared" si="131"/>
        <v>5.9822628325718896E-4</v>
      </c>
      <c r="BS95" s="547">
        <f t="shared" si="132"/>
        <v>1.47344812340245E-2</v>
      </c>
      <c r="BT95" s="657">
        <f t="shared" si="133"/>
        <v>7.7454545454545484E-2</v>
      </c>
      <c r="BU95" s="473">
        <f t="shared" si="146"/>
        <v>96.726304468194911</v>
      </c>
      <c r="BV95" s="180">
        <f t="shared" si="147"/>
        <v>0.26234952309717313</v>
      </c>
      <c r="BW95" s="5">
        <f t="shared" si="148"/>
        <v>1.9170000000000003</v>
      </c>
      <c r="BX95" s="180">
        <f t="shared" si="149"/>
        <v>0.87962026268997173</v>
      </c>
      <c r="BY95" s="5">
        <f t="shared" si="150"/>
        <v>87.962026268997178</v>
      </c>
      <c r="BZ95">
        <f t="shared" si="151"/>
        <v>90</v>
      </c>
      <c r="CB95" s="582">
        <f t="shared" si="134"/>
        <v>-50</v>
      </c>
      <c r="CC95">
        <f t="shared" si="135"/>
        <v>-50</v>
      </c>
    </row>
    <row r="96" spans="5:81" x14ac:dyDescent="0.25">
      <c r="E96" s="177">
        <v>91</v>
      </c>
      <c r="F96" s="224">
        <f t="shared" si="152"/>
        <v>9.1000000000000011E-2</v>
      </c>
      <c r="G96" s="224">
        <f t="shared" si="136"/>
        <v>9.1000000000000011E-2</v>
      </c>
      <c r="H96" s="224">
        <f t="shared" si="91"/>
        <v>0.57330000000000003</v>
      </c>
      <c r="I96" s="224">
        <f t="shared" si="153"/>
        <v>1.3650000000000002</v>
      </c>
      <c r="J96" s="560">
        <f t="shared" si="92"/>
        <v>24</v>
      </c>
      <c r="K96" s="455">
        <f t="shared" si="93"/>
        <v>13.1</v>
      </c>
      <c r="L96" s="455">
        <f t="shared" si="94"/>
        <v>37.1</v>
      </c>
      <c r="M96" s="455"/>
      <c r="N96" s="224">
        <f t="shared" si="95"/>
        <v>0.35309973045822102</v>
      </c>
      <c r="O96" s="179">
        <f t="shared" si="137"/>
        <v>1.6354982726547966</v>
      </c>
      <c r="P96" s="179">
        <f t="shared" si="96"/>
        <v>3.8940435063209446</v>
      </c>
      <c r="Q96" s="224">
        <f t="shared" si="97"/>
        <v>0.25960290042139628</v>
      </c>
      <c r="R96" s="224">
        <f t="shared" si="98"/>
        <v>0.10903321817698644</v>
      </c>
      <c r="S96" s="455">
        <f t="shared" si="99"/>
        <v>6.3</v>
      </c>
      <c r="T96" s="224">
        <f t="shared" si="100"/>
        <v>0.50827629346904168</v>
      </c>
      <c r="U96" s="224">
        <f t="shared" si="101"/>
        <v>1.1647998391998873</v>
      </c>
      <c r="V96" s="224">
        <f t="shared" si="102"/>
        <v>2.1339844382288011</v>
      </c>
      <c r="W96" s="204">
        <f t="shared" si="103"/>
        <v>350</v>
      </c>
      <c r="X96" s="455">
        <f t="shared" si="138"/>
        <v>303.14198077222329</v>
      </c>
      <c r="Z96" s="224">
        <f t="shared" si="104"/>
        <v>0.44022823537648331</v>
      </c>
      <c r="AA96" s="180">
        <f t="shared" si="105"/>
        <v>1.8482864844050828</v>
      </c>
      <c r="AB96" s="180">
        <f t="shared" si="106"/>
        <v>8.4231817558083441E-2</v>
      </c>
      <c r="AC96" s="180"/>
      <c r="AD96" s="180">
        <f t="shared" si="107"/>
        <v>1.217557251908397</v>
      </c>
      <c r="AE96" s="564">
        <f t="shared" si="108"/>
        <v>871.35084495369881</v>
      </c>
      <c r="AF96" s="547">
        <f t="shared" si="109"/>
        <v>3.6552440597785188E-2</v>
      </c>
      <c r="AH96" s="180">
        <f t="shared" si="110"/>
        <v>0.44875585587468186</v>
      </c>
      <c r="AI96" s="180">
        <f t="shared" si="111"/>
        <v>0.50827629346904168</v>
      </c>
      <c r="AJ96" s="180">
        <f t="shared" si="112"/>
        <v>1.3616861433104013</v>
      </c>
      <c r="AL96" s="564">
        <f t="shared" si="113"/>
        <v>91.000000000000014</v>
      </c>
      <c r="AM96" s="473">
        <f t="shared" si="114"/>
        <v>303.14198077222329</v>
      </c>
      <c r="AO96">
        <f t="shared" si="139"/>
        <v>91.000000000000014</v>
      </c>
      <c r="AP96">
        <f t="shared" si="115"/>
        <v>303.14198077222329</v>
      </c>
      <c r="AR96" s="5">
        <f t="shared" si="140"/>
        <v>3.2987842774286884</v>
      </c>
      <c r="AS96" s="5">
        <f t="shared" si="116"/>
        <v>1.1647998391998873</v>
      </c>
      <c r="AT96" s="5">
        <f t="shared" si="141"/>
        <v>2.1339844382288011</v>
      </c>
      <c r="AU96" s="180">
        <f t="shared" si="142"/>
        <v>0.35309973045822102</v>
      </c>
      <c r="AW96" s="5">
        <f t="shared" si="117"/>
        <v>1.6824886566220596</v>
      </c>
      <c r="AX96" s="5">
        <f t="shared" si="118"/>
        <v>0.70664523578126504</v>
      </c>
      <c r="AY96" s="5">
        <f t="shared" si="119"/>
        <v>4.7199586359435629E-2</v>
      </c>
      <c r="AZ96" s="5"/>
      <c r="BA96" s="180">
        <f t="shared" si="143"/>
        <v>0.17437648531435587</v>
      </c>
      <c r="BB96" s="180">
        <f t="shared" si="120"/>
        <v>0.13962038608353247</v>
      </c>
      <c r="BC96" s="180">
        <f t="shared" si="121"/>
        <v>0.14278119107683651</v>
      </c>
      <c r="BD96" s="180"/>
      <c r="BE96" s="547">
        <f t="shared" si="122"/>
        <v>1.0642505520705718E-2</v>
      </c>
      <c r="BF96" s="547">
        <f t="shared" si="123"/>
        <v>5.7163636363636361E-2</v>
      </c>
      <c r="BG96" s="547">
        <f t="shared" si="124"/>
        <v>3.7892747596527908E-3</v>
      </c>
      <c r="BH96" s="547">
        <f t="shared" si="125"/>
        <v>2.3991740090895011E-2</v>
      </c>
      <c r="BI96">
        <f t="shared" si="126"/>
        <v>6.96E-3</v>
      </c>
      <c r="BJ96" s="473">
        <f t="shared" si="144"/>
        <v>102.54715673488988</v>
      </c>
      <c r="BK96" s="180">
        <f t="shared" si="127"/>
        <v>3.1850000000000003E-2</v>
      </c>
      <c r="BL96" s="180">
        <f t="shared" si="128"/>
        <v>3.1850000000000003E-2</v>
      </c>
      <c r="BM96" s="547"/>
      <c r="BO96" s="473">
        <f t="shared" si="145"/>
        <v>63.70000000000001</v>
      </c>
      <c r="BP96" s="547">
        <f t="shared" si="129"/>
        <v>3.3447874493646545E-3</v>
      </c>
      <c r="BQ96" s="547">
        <f t="shared" si="130"/>
        <v>6.8228482735401344E-4</v>
      </c>
      <c r="BR96" s="547">
        <f t="shared" si="131"/>
        <v>6.1159405575960291E-4</v>
      </c>
      <c r="BS96" s="547">
        <f t="shared" si="132"/>
        <v>1.4734481234024472E-2</v>
      </c>
      <c r="BT96" s="657">
        <f t="shared" si="133"/>
        <v>7.8315151515151532E-2</v>
      </c>
      <c r="BU96" s="473">
        <f t="shared" si="146"/>
        <v>97.688299081654279</v>
      </c>
      <c r="BV96" s="180">
        <f t="shared" si="147"/>
        <v>0.26393545581654415</v>
      </c>
      <c r="BW96" s="5">
        <f t="shared" si="148"/>
        <v>1.9383000000000004</v>
      </c>
      <c r="BX96" s="180">
        <f t="shared" si="149"/>
        <v>0.88015111866470153</v>
      </c>
      <c r="BY96" s="5">
        <f t="shared" si="150"/>
        <v>88.01511186647015</v>
      </c>
      <c r="BZ96">
        <f t="shared" si="151"/>
        <v>91</v>
      </c>
      <c r="CB96" s="582">
        <f t="shared" si="134"/>
        <v>-50</v>
      </c>
      <c r="CC96">
        <f t="shared" si="135"/>
        <v>-50</v>
      </c>
    </row>
    <row r="97" spans="5:81" x14ac:dyDescent="0.25">
      <c r="E97" s="177">
        <v>92</v>
      </c>
      <c r="F97" s="224">
        <f t="shared" si="152"/>
        <v>9.2000000000000012E-2</v>
      </c>
      <c r="G97" s="224">
        <f t="shared" si="136"/>
        <v>9.2000000000000012E-2</v>
      </c>
      <c r="H97" s="224">
        <f t="shared" si="91"/>
        <v>0.57960000000000012</v>
      </c>
      <c r="I97" s="224">
        <f t="shared" si="153"/>
        <v>1.3800000000000001</v>
      </c>
      <c r="J97" s="560">
        <f t="shared" si="92"/>
        <v>24</v>
      </c>
      <c r="K97" s="455">
        <f t="shared" si="93"/>
        <v>13.1</v>
      </c>
      <c r="L97" s="455">
        <f t="shared" si="94"/>
        <v>37.1</v>
      </c>
      <c r="M97" s="455"/>
      <c r="N97" s="224">
        <f t="shared" si="95"/>
        <v>0.35309973045822102</v>
      </c>
      <c r="O97" s="179">
        <f t="shared" si="137"/>
        <v>1.6354982726547966</v>
      </c>
      <c r="P97" s="179">
        <f t="shared" si="96"/>
        <v>3.8940435063209446</v>
      </c>
      <c r="Q97" s="224">
        <f t="shared" si="97"/>
        <v>0.25960290042139628</v>
      </c>
      <c r="R97" s="224">
        <f t="shared" si="98"/>
        <v>0.10903321817698644</v>
      </c>
      <c r="S97" s="455">
        <f t="shared" si="99"/>
        <v>6.3</v>
      </c>
      <c r="T97" s="224">
        <f t="shared" si="100"/>
        <v>0.5138617472434267</v>
      </c>
      <c r="U97" s="224">
        <f t="shared" si="101"/>
        <v>1.1775998374328527</v>
      </c>
      <c r="V97" s="224">
        <f t="shared" si="102"/>
        <v>2.1574348166708757</v>
      </c>
      <c r="W97" s="204">
        <f t="shared" si="103"/>
        <v>350</v>
      </c>
      <c r="X97" s="455">
        <f t="shared" si="138"/>
        <v>299.84695924209046</v>
      </c>
      <c r="Z97" s="224">
        <f t="shared" si="104"/>
        <v>0.44022823537648331</v>
      </c>
      <c r="AA97" s="180">
        <f t="shared" si="105"/>
        <v>1.8482864844050828</v>
      </c>
      <c r="AB97" s="180">
        <f t="shared" si="106"/>
        <v>8.4231817558083441E-2</v>
      </c>
      <c r="AC97" s="180"/>
      <c r="AD97" s="180">
        <f t="shared" si="107"/>
        <v>1.217557251908397</v>
      </c>
      <c r="AE97" s="564">
        <f t="shared" si="108"/>
        <v>880.9261289641787</v>
      </c>
      <c r="AF97" s="547">
        <f t="shared" si="109"/>
        <v>3.6552440597785188E-2</v>
      </c>
      <c r="AH97" s="180">
        <f t="shared" si="110"/>
        <v>0.4512148104781194</v>
      </c>
      <c r="AI97" s="180">
        <f t="shared" si="111"/>
        <v>0.5138617472434267</v>
      </c>
      <c r="AJ97" s="180">
        <f t="shared" si="112"/>
        <v>1.3658235164766124</v>
      </c>
      <c r="AL97" s="564">
        <f t="shared" si="113"/>
        <v>92.000000000000014</v>
      </c>
      <c r="AM97" s="473">
        <f t="shared" si="114"/>
        <v>299.84695924209046</v>
      </c>
      <c r="AO97">
        <f t="shared" si="139"/>
        <v>92.000000000000014</v>
      </c>
      <c r="AP97">
        <f t="shared" si="115"/>
        <v>299.84695924209046</v>
      </c>
      <c r="AR97" s="5">
        <f t="shared" si="140"/>
        <v>3.3350346541037288</v>
      </c>
      <c r="AS97" s="5">
        <f t="shared" si="116"/>
        <v>1.1775998374328527</v>
      </c>
      <c r="AT97" s="5">
        <f t="shared" si="141"/>
        <v>2.1574348166708761</v>
      </c>
      <c r="AU97" s="180">
        <f t="shared" si="142"/>
        <v>0.35309973045822091</v>
      </c>
      <c r="AW97" s="5">
        <f t="shared" si="117"/>
        <v>1.7196696038701977</v>
      </c>
      <c r="AX97" s="5">
        <f t="shared" si="118"/>
        <v>0.72226123362548311</v>
      </c>
      <c r="AY97" s="5">
        <f t="shared" si="119"/>
        <v>4.8242639650557091E-2</v>
      </c>
      <c r="AZ97" s="5"/>
      <c r="BA97" s="180">
        <f t="shared" si="143"/>
        <v>0.17629271042770039</v>
      </c>
      <c r="BB97" s="180">
        <f t="shared" si="120"/>
        <v>0.14115467604049439</v>
      </c>
      <c r="BC97" s="180">
        <f t="shared" si="121"/>
        <v>0.14435021515460397</v>
      </c>
      <c r="BD97" s="180"/>
      <c r="BE97" s="547">
        <f t="shared" si="122"/>
        <v>1.0877691912480758E-2</v>
      </c>
      <c r="BF97" s="547">
        <f t="shared" si="123"/>
        <v>5.7163636363636361E-2</v>
      </c>
      <c r="BG97" s="547">
        <f t="shared" si="124"/>
        <v>3.7480869905261306E-3</v>
      </c>
      <c r="BH97" s="547">
        <f t="shared" si="125"/>
        <v>2.3730960307298328E-2</v>
      </c>
      <c r="BI97">
        <f t="shared" si="126"/>
        <v>6.96E-3</v>
      </c>
      <c r="BJ97" s="473">
        <f t="shared" si="144"/>
        <v>102.48037557394157</v>
      </c>
      <c r="BK97" s="180">
        <f t="shared" si="127"/>
        <v>3.2199999999999999E-2</v>
      </c>
      <c r="BL97" s="180">
        <f t="shared" si="128"/>
        <v>3.2199999999999999E-2</v>
      </c>
      <c r="BM97" s="547"/>
      <c r="BO97" s="473">
        <f t="shared" si="145"/>
        <v>64.400000000000006</v>
      </c>
      <c r="BP97" s="547">
        <f t="shared" si="129"/>
        <v>3.4187031724939526E-3</v>
      </c>
      <c r="BQ97" s="547">
        <f t="shared" si="130"/>
        <v>6.9736248988339241E-4</v>
      </c>
      <c r="BR97" s="547">
        <f t="shared" si="131"/>
        <v>6.2510953845541371E-4</v>
      </c>
      <c r="BS97" s="547">
        <f t="shared" si="132"/>
        <v>1.4734481234024493E-2</v>
      </c>
      <c r="BT97" s="657">
        <f t="shared" si="133"/>
        <v>7.9175757575757594E-2</v>
      </c>
      <c r="BU97" s="473">
        <f t="shared" si="146"/>
        <v>98.651414010614843</v>
      </c>
      <c r="BV97" s="180">
        <f t="shared" si="147"/>
        <v>0.26553178958455642</v>
      </c>
      <c r="BW97" s="5">
        <f t="shared" si="148"/>
        <v>1.9596000000000002</v>
      </c>
      <c r="BX97" s="180">
        <f t="shared" si="149"/>
        <v>0.88066693809891927</v>
      </c>
      <c r="BY97" s="5">
        <f t="shared" si="150"/>
        <v>88.06669380989193</v>
      </c>
      <c r="BZ97">
        <f t="shared" si="151"/>
        <v>92</v>
      </c>
      <c r="CB97" s="582">
        <f t="shared" si="134"/>
        <v>-50</v>
      </c>
      <c r="CC97">
        <f t="shared" si="135"/>
        <v>-50</v>
      </c>
    </row>
    <row r="98" spans="5:81" x14ac:dyDescent="0.25">
      <c r="E98" s="177">
        <v>93</v>
      </c>
      <c r="F98" s="224">
        <f t="shared" si="152"/>
        <v>9.3000000000000013E-2</v>
      </c>
      <c r="G98" s="224">
        <f t="shared" si="136"/>
        <v>9.3000000000000013E-2</v>
      </c>
      <c r="H98" s="224">
        <f t="shared" si="91"/>
        <v>0.58590000000000009</v>
      </c>
      <c r="I98" s="224">
        <f t="shared" si="153"/>
        <v>1.3950000000000002</v>
      </c>
      <c r="J98" s="560">
        <f t="shared" si="92"/>
        <v>24</v>
      </c>
      <c r="K98" s="455">
        <f t="shared" si="93"/>
        <v>13.1</v>
      </c>
      <c r="L98" s="455">
        <f t="shared" si="94"/>
        <v>37.1</v>
      </c>
      <c r="M98" s="455"/>
      <c r="N98" s="224">
        <f t="shared" si="95"/>
        <v>0.35309973045822102</v>
      </c>
      <c r="O98" s="179">
        <f t="shared" si="137"/>
        <v>1.6354982726547966</v>
      </c>
      <c r="P98" s="179">
        <f t="shared" si="96"/>
        <v>3.8940435063209446</v>
      </c>
      <c r="Q98" s="224">
        <f t="shared" si="97"/>
        <v>0.25960290042139628</v>
      </c>
      <c r="R98" s="224">
        <f t="shared" si="98"/>
        <v>0.10903321817698644</v>
      </c>
      <c r="S98" s="455">
        <f t="shared" si="99"/>
        <v>6.3</v>
      </c>
      <c r="T98" s="224">
        <f t="shared" si="100"/>
        <v>0.51944720101781172</v>
      </c>
      <c r="U98" s="224">
        <f t="shared" si="101"/>
        <v>1.1903998356658185</v>
      </c>
      <c r="V98" s="224">
        <f t="shared" si="102"/>
        <v>2.1808851951129502</v>
      </c>
      <c r="W98" s="204">
        <f t="shared" si="103"/>
        <v>350</v>
      </c>
      <c r="X98" s="455">
        <f t="shared" si="138"/>
        <v>296.62279839002503</v>
      </c>
      <c r="Z98" s="224">
        <f t="shared" si="104"/>
        <v>0.44022823537648331</v>
      </c>
      <c r="AA98" s="180">
        <f t="shared" si="105"/>
        <v>1.8482864844050828</v>
      </c>
      <c r="AB98" s="180">
        <f t="shared" si="106"/>
        <v>8.4231817558083441E-2</v>
      </c>
      <c r="AC98" s="180"/>
      <c r="AD98" s="180">
        <f t="shared" si="107"/>
        <v>1.217557251908397</v>
      </c>
      <c r="AE98" s="564">
        <f t="shared" si="108"/>
        <v>890.50141297465905</v>
      </c>
      <c r="AF98" s="547">
        <f t="shared" si="109"/>
        <v>3.6552440597785188E-2</v>
      </c>
      <c r="AH98" s="180">
        <f t="shared" si="110"/>
        <v>0.45366043711987081</v>
      </c>
      <c r="AI98" s="180">
        <f t="shared" si="111"/>
        <v>0.51944720101781172</v>
      </c>
      <c r="AJ98" s="180">
        <f t="shared" si="112"/>
        <v>1.3699608896428235</v>
      </c>
      <c r="AL98" s="564">
        <f t="shared" si="113"/>
        <v>93.000000000000014</v>
      </c>
      <c r="AM98" s="473">
        <f t="shared" si="114"/>
        <v>296.62279839002503</v>
      </c>
      <c r="AO98">
        <f t="shared" si="139"/>
        <v>93.000000000000014</v>
      </c>
      <c r="AP98">
        <f t="shared" si="115"/>
        <v>296.62279839002503</v>
      </c>
      <c r="AR98" s="5">
        <f t="shared" si="140"/>
        <v>3.3712850307787687</v>
      </c>
      <c r="AS98" s="5">
        <f t="shared" si="116"/>
        <v>1.1903998356658185</v>
      </c>
      <c r="AT98" s="5">
        <f t="shared" si="141"/>
        <v>2.1808851951129502</v>
      </c>
      <c r="AU98" s="180">
        <f t="shared" si="142"/>
        <v>0.35309973045822102</v>
      </c>
      <c r="AW98" s="5">
        <f t="shared" si="117"/>
        <v>1.7572569002685896</v>
      </c>
      <c r="AX98" s="5">
        <f t="shared" si="118"/>
        <v>0.73804789811280758</v>
      </c>
      <c r="AY98" s="5">
        <f t="shared" si="119"/>
        <v>4.929709243119898E-2</v>
      </c>
      <c r="AZ98" s="5"/>
      <c r="BA98" s="180">
        <f t="shared" si="143"/>
        <v>0.17820893554104497</v>
      </c>
      <c r="BB98" s="180">
        <f t="shared" si="120"/>
        <v>0.14268896599745626</v>
      </c>
      <c r="BC98" s="180">
        <f t="shared" si="121"/>
        <v>0.14591923923237135</v>
      </c>
      <c r="BD98" s="180"/>
      <c r="BE98" s="547">
        <f t="shared" si="122"/>
        <v>1.111544864733531E-2</v>
      </c>
      <c r="BF98" s="547">
        <f t="shared" si="123"/>
        <v>5.7163636363636368E-2</v>
      </c>
      <c r="BG98" s="547">
        <f t="shared" si="124"/>
        <v>3.7077849798753124E-3</v>
      </c>
      <c r="BH98" s="547">
        <f t="shared" si="125"/>
        <v>2.3475788691090828E-2</v>
      </c>
      <c r="BI98">
        <f t="shared" si="126"/>
        <v>6.96E-3</v>
      </c>
      <c r="BJ98" s="473">
        <f t="shared" si="144"/>
        <v>102.42265868193782</v>
      </c>
      <c r="BK98" s="180">
        <f t="shared" si="127"/>
        <v>3.2550000000000003E-2</v>
      </c>
      <c r="BL98" s="180">
        <f t="shared" si="128"/>
        <v>3.2550000000000003E-2</v>
      </c>
      <c r="BM98" s="547"/>
      <c r="BO98" s="473">
        <f t="shared" si="145"/>
        <v>65.100000000000009</v>
      </c>
      <c r="BP98" s="547">
        <f t="shared" si="129"/>
        <v>3.4934267177339552E-3</v>
      </c>
      <c r="BQ98" s="547">
        <f t="shared" si="130"/>
        <v>7.1260493560981308E-4</v>
      </c>
      <c r="BR98" s="547">
        <f t="shared" si="131"/>
        <v>6.3877273134462062E-4</v>
      </c>
      <c r="BS98" s="547">
        <f t="shared" si="132"/>
        <v>1.4734481234024483E-2</v>
      </c>
      <c r="BT98" s="657">
        <f t="shared" si="133"/>
        <v>8.0036363636363642E-2</v>
      </c>
      <c r="BU98" s="473">
        <f t="shared" si="146"/>
        <v>99.615649255076519</v>
      </c>
      <c r="BV98" s="180">
        <f t="shared" si="147"/>
        <v>0.26713830793701432</v>
      </c>
      <c r="BW98" s="5">
        <f t="shared" si="148"/>
        <v>1.9809000000000003</v>
      </c>
      <c r="BX98" s="180">
        <f t="shared" si="149"/>
        <v>0.88116825812360711</v>
      </c>
      <c r="BY98" s="5">
        <f t="shared" si="150"/>
        <v>88.116825812360716</v>
      </c>
      <c r="BZ98">
        <f t="shared" si="151"/>
        <v>93</v>
      </c>
      <c r="CB98" s="582">
        <f t="shared" si="134"/>
        <v>-50</v>
      </c>
      <c r="CC98">
        <f t="shared" si="135"/>
        <v>-50</v>
      </c>
    </row>
    <row r="99" spans="5:81" x14ac:dyDescent="0.25">
      <c r="E99" s="177">
        <v>94</v>
      </c>
      <c r="F99" s="224">
        <f t="shared" si="152"/>
        <v>9.4E-2</v>
      </c>
      <c r="G99" s="224">
        <f t="shared" si="136"/>
        <v>9.4E-2</v>
      </c>
      <c r="H99" s="224">
        <f t="shared" si="91"/>
        <v>0.59219999999999995</v>
      </c>
      <c r="I99" s="224">
        <f t="shared" si="153"/>
        <v>1.41</v>
      </c>
      <c r="J99" s="560">
        <f t="shared" si="92"/>
        <v>24</v>
      </c>
      <c r="K99" s="455">
        <f t="shared" si="93"/>
        <v>13.1</v>
      </c>
      <c r="L99" s="455">
        <f t="shared" si="94"/>
        <v>37.1</v>
      </c>
      <c r="M99" s="455"/>
      <c r="N99" s="224">
        <f t="shared" si="95"/>
        <v>0.35309973045822102</v>
      </c>
      <c r="O99" s="179">
        <f t="shared" si="137"/>
        <v>1.6354982726547966</v>
      </c>
      <c r="P99" s="179">
        <f t="shared" si="96"/>
        <v>3.8940435063209446</v>
      </c>
      <c r="Q99" s="224">
        <f t="shared" si="97"/>
        <v>0.25960290042139628</v>
      </c>
      <c r="R99" s="224">
        <f t="shared" si="98"/>
        <v>0.10903321817698644</v>
      </c>
      <c r="S99" s="455">
        <f t="shared" si="99"/>
        <v>6.3</v>
      </c>
      <c r="T99" s="224">
        <f t="shared" si="100"/>
        <v>0.52503265479219674</v>
      </c>
      <c r="U99" s="224">
        <f t="shared" si="101"/>
        <v>1.2031998338987842</v>
      </c>
      <c r="V99" s="224">
        <f t="shared" si="102"/>
        <v>2.2043355735550247</v>
      </c>
      <c r="W99" s="204">
        <f t="shared" si="103"/>
        <v>350</v>
      </c>
      <c r="X99" s="455">
        <f t="shared" si="138"/>
        <v>293.46723670502479</v>
      </c>
      <c r="Z99" s="224">
        <f t="shared" si="104"/>
        <v>0.44022823537648331</v>
      </c>
      <c r="AA99" s="180">
        <f t="shared" si="105"/>
        <v>1.8482864844050828</v>
      </c>
      <c r="AB99" s="180">
        <f t="shared" si="106"/>
        <v>8.4231817558083441E-2</v>
      </c>
      <c r="AC99" s="180"/>
      <c r="AD99" s="180">
        <f t="shared" si="107"/>
        <v>1.217557251908397</v>
      </c>
      <c r="AE99" s="564">
        <f t="shared" si="108"/>
        <v>900.07669698513905</v>
      </c>
      <c r="AF99" s="547">
        <f t="shared" si="109"/>
        <v>3.6552440597785188E-2</v>
      </c>
      <c r="AH99" s="180">
        <f t="shared" si="110"/>
        <v>0.45609295019850854</v>
      </c>
      <c r="AI99" s="180">
        <f t="shared" si="111"/>
        <v>0.52503265479219674</v>
      </c>
      <c r="AJ99" s="180">
        <f t="shared" si="112"/>
        <v>1.3740982628090346</v>
      </c>
      <c r="AL99" s="564">
        <f t="shared" si="113"/>
        <v>94</v>
      </c>
      <c r="AM99" s="473">
        <f t="shared" si="114"/>
        <v>293.46723670502479</v>
      </c>
      <c r="AO99">
        <f t="shared" si="139"/>
        <v>94</v>
      </c>
      <c r="AP99">
        <f t="shared" si="115"/>
        <v>293.46723670502479</v>
      </c>
      <c r="AR99" s="5">
        <f t="shared" si="140"/>
        <v>3.4075354074538087</v>
      </c>
      <c r="AS99" s="5">
        <f t="shared" si="116"/>
        <v>1.2031998338987842</v>
      </c>
      <c r="AT99" s="5">
        <f t="shared" si="141"/>
        <v>2.2043355735550243</v>
      </c>
      <c r="AU99" s="180">
        <f t="shared" si="142"/>
        <v>0.35309973045822102</v>
      </c>
      <c r="AW99" s="5">
        <f t="shared" si="117"/>
        <v>1.7952505458172336</v>
      </c>
      <c r="AX99" s="5">
        <f t="shared" si="118"/>
        <v>0.7540052292432381</v>
      </c>
      <c r="AY99" s="5">
        <f t="shared" si="119"/>
        <v>5.0362944701361302E-2</v>
      </c>
      <c r="AZ99" s="5"/>
      <c r="BA99" s="180">
        <f t="shared" si="143"/>
        <v>0.18012516065438952</v>
      </c>
      <c r="BB99" s="180">
        <f t="shared" si="120"/>
        <v>0.14422325595441812</v>
      </c>
      <c r="BC99" s="180">
        <f t="shared" si="121"/>
        <v>0.14748826331013876</v>
      </c>
      <c r="BD99" s="180"/>
      <c r="BE99" s="547">
        <f t="shared" si="122"/>
        <v>1.1355775725269371E-2</v>
      </c>
      <c r="BF99" s="547">
        <f t="shared" si="123"/>
        <v>5.7163636363636361E-2</v>
      </c>
      <c r="BG99" s="547">
        <f t="shared" si="124"/>
        <v>3.6683404588128093E-3</v>
      </c>
      <c r="BH99" s="547">
        <f t="shared" si="125"/>
        <v>2.3226046258206883E-2</v>
      </c>
      <c r="BI99">
        <f t="shared" si="126"/>
        <v>6.96E-3</v>
      </c>
      <c r="BJ99" s="473">
        <f t="shared" si="144"/>
        <v>102.37379880592543</v>
      </c>
      <c r="BK99" s="180">
        <f t="shared" si="127"/>
        <v>3.2899999999999999E-2</v>
      </c>
      <c r="BL99" s="180">
        <f t="shared" si="128"/>
        <v>3.2899999999999999E-2</v>
      </c>
      <c r="BM99" s="547"/>
      <c r="BO99" s="473">
        <f t="shared" si="145"/>
        <v>65.8</v>
      </c>
      <c r="BP99" s="547">
        <f t="shared" si="129"/>
        <v>3.5689580850846595E-3</v>
      </c>
      <c r="BQ99" s="547">
        <f t="shared" si="130"/>
        <v>7.2801216453327621E-4</v>
      </c>
      <c r="BR99" s="547">
        <f t="shared" si="131"/>
        <v>6.5258363442722471E-4</v>
      </c>
      <c r="BS99" s="547">
        <f t="shared" si="132"/>
        <v>1.4734481234024502E-2</v>
      </c>
      <c r="BT99" s="657">
        <f t="shared" si="133"/>
        <v>8.0896969696969703E-2</v>
      </c>
      <c r="BU99" s="473">
        <f t="shared" si="146"/>
        <v>100.58100481503936</v>
      </c>
      <c r="BV99" s="180">
        <f t="shared" si="147"/>
        <v>0.26875480362096477</v>
      </c>
      <c r="BW99" s="5">
        <f t="shared" si="148"/>
        <v>2.0021999999999998</v>
      </c>
      <c r="BX99" s="180">
        <f t="shared" si="149"/>
        <v>0.88165559121104309</v>
      </c>
      <c r="BY99" s="5">
        <f t="shared" si="150"/>
        <v>88.165559121104309</v>
      </c>
      <c r="BZ99">
        <f t="shared" si="151"/>
        <v>94</v>
      </c>
      <c r="CB99" s="582">
        <f t="shared" si="134"/>
        <v>-50</v>
      </c>
      <c r="CC99">
        <f t="shared" si="135"/>
        <v>-50</v>
      </c>
    </row>
    <row r="100" spans="5:81" x14ac:dyDescent="0.25">
      <c r="E100" s="177">
        <v>95</v>
      </c>
      <c r="F100" s="224">
        <f t="shared" si="152"/>
        <v>9.5000000000000001E-2</v>
      </c>
      <c r="G100" s="224">
        <f t="shared" si="136"/>
        <v>9.5000000000000001E-2</v>
      </c>
      <c r="H100" s="224">
        <f t="shared" si="91"/>
        <v>0.59850000000000003</v>
      </c>
      <c r="I100" s="224">
        <f t="shared" si="153"/>
        <v>1.425</v>
      </c>
      <c r="J100" s="560">
        <f t="shared" si="92"/>
        <v>24</v>
      </c>
      <c r="K100" s="455">
        <f t="shared" si="93"/>
        <v>13.1</v>
      </c>
      <c r="L100" s="455">
        <f t="shared" si="94"/>
        <v>37.1</v>
      </c>
      <c r="M100" s="455"/>
      <c r="N100" s="224">
        <f t="shared" si="95"/>
        <v>0.35309973045822102</v>
      </c>
      <c r="O100" s="179">
        <f t="shared" si="137"/>
        <v>1.6354982726547966</v>
      </c>
      <c r="P100" s="179">
        <f t="shared" si="96"/>
        <v>3.8940435063209446</v>
      </c>
      <c r="Q100" s="224">
        <f t="shared" si="97"/>
        <v>0.25960290042139628</v>
      </c>
      <c r="R100" s="224">
        <f t="shared" si="98"/>
        <v>0.10903321817698644</v>
      </c>
      <c r="S100" s="455">
        <f t="shared" si="99"/>
        <v>6.3</v>
      </c>
      <c r="T100" s="224">
        <f t="shared" si="100"/>
        <v>0.53061810856658187</v>
      </c>
      <c r="U100" s="224">
        <f t="shared" si="101"/>
        <v>1.2159998321317502</v>
      </c>
      <c r="V100" s="224">
        <f t="shared" si="102"/>
        <v>2.2277859519970997</v>
      </c>
      <c r="W100" s="204">
        <f t="shared" si="103"/>
        <v>350</v>
      </c>
      <c r="X100" s="455">
        <f t="shared" si="138"/>
        <v>290.37810789760346</v>
      </c>
      <c r="Z100" s="224">
        <f t="shared" si="104"/>
        <v>0.44022823537648331</v>
      </c>
      <c r="AA100" s="180">
        <f t="shared" si="105"/>
        <v>1.8482864844050828</v>
      </c>
      <c r="AB100" s="180">
        <f t="shared" si="106"/>
        <v>8.4231817558083441E-2</v>
      </c>
      <c r="AC100" s="180"/>
      <c r="AD100" s="180">
        <f t="shared" si="107"/>
        <v>1.217557251908397</v>
      </c>
      <c r="AE100" s="564">
        <f t="shared" si="108"/>
        <v>909.6519809956194</v>
      </c>
      <c r="AF100" s="547">
        <f t="shared" si="109"/>
        <v>3.6552440597785188E-2</v>
      </c>
      <c r="AH100" s="180">
        <f t="shared" si="110"/>
        <v>0.45851255842535682</v>
      </c>
      <c r="AI100" s="180">
        <f t="shared" si="111"/>
        <v>0.53061810856658187</v>
      </c>
      <c r="AJ100" s="180">
        <f t="shared" si="112"/>
        <v>1.3782356359752459</v>
      </c>
      <c r="AL100" s="564">
        <f t="shared" si="113"/>
        <v>95</v>
      </c>
      <c r="AM100" s="473">
        <f t="shared" si="114"/>
        <v>290.37810789760346</v>
      </c>
      <c r="AO100">
        <f t="shared" si="139"/>
        <v>95</v>
      </c>
      <c r="AP100">
        <f t="shared" si="115"/>
        <v>290.37810789760346</v>
      </c>
      <c r="AR100" s="5">
        <f t="shared" si="140"/>
        <v>3.4437857841288495</v>
      </c>
      <c r="AS100" s="5">
        <f t="shared" si="116"/>
        <v>1.2159998321317502</v>
      </c>
      <c r="AT100" s="5">
        <f t="shared" si="141"/>
        <v>2.2277859519970993</v>
      </c>
      <c r="AU100" s="180">
        <f t="shared" si="142"/>
        <v>0.35309973045822107</v>
      </c>
      <c r="AW100" s="5">
        <f t="shared" si="117"/>
        <v>1.8336505405161314</v>
      </c>
      <c r="AX100" s="5">
        <f t="shared" si="118"/>
        <v>0.77013322701677511</v>
      </c>
      <c r="AY100" s="5">
        <f t="shared" si="119"/>
        <v>5.1440196461044127E-2</v>
      </c>
      <c r="AZ100" s="5"/>
      <c r="BA100" s="180">
        <f t="shared" si="143"/>
        <v>0.18204138576773413</v>
      </c>
      <c r="BB100" s="180">
        <f t="shared" si="120"/>
        <v>0.14575754591138004</v>
      </c>
      <c r="BC100" s="180">
        <f t="shared" si="121"/>
        <v>0.14905728738790622</v>
      </c>
      <c r="BD100" s="180"/>
      <c r="BE100" s="547">
        <f t="shared" si="122"/>
        <v>1.1598673146282948E-2</v>
      </c>
      <c r="BF100" s="547">
        <f t="shared" si="123"/>
        <v>5.7163636363636361E-2</v>
      </c>
      <c r="BG100" s="547">
        <f t="shared" si="124"/>
        <v>3.6297263487200431E-3</v>
      </c>
      <c r="BH100" s="547">
        <f t="shared" si="125"/>
        <v>2.2981561560752071E-2</v>
      </c>
      <c r="BI100">
        <f t="shared" si="126"/>
        <v>6.96E-3</v>
      </c>
      <c r="BJ100" s="473">
        <f t="shared" si="144"/>
        <v>102.33359741939141</v>
      </c>
      <c r="BK100" s="180">
        <f t="shared" si="127"/>
        <v>3.3249999999999995E-2</v>
      </c>
      <c r="BL100" s="180">
        <f t="shared" si="128"/>
        <v>3.3249999999999995E-2</v>
      </c>
      <c r="BM100" s="547"/>
      <c r="BO100" s="473">
        <f t="shared" si="145"/>
        <v>66.499999999999986</v>
      </c>
      <c r="BP100" s="547">
        <f t="shared" si="129"/>
        <v>3.6452972745460695E-3</v>
      </c>
      <c r="BQ100" s="547">
        <f t="shared" si="130"/>
        <v>7.4358417665378225E-4</v>
      </c>
      <c r="BR100" s="547">
        <f t="shared" si="131"/>
        <v>6.6654224770322599E-4</v>
      </c>
      <c r="BS100" s="547">
        <f t="shared" si="132"/>
        <v>1.4734481234024517E-2</v>
      </c>
      <c r="BT100" s="657">
        <f t="shared" si="133"/>
        <v>8.1757575757575765E-2</v>
      </c>
      <c r="BU100" s="473">
        <f t="shared" si="146"/>
        <v>101.54748069050336</v>
      </c>
      <c r="BV100" s="180">
        <f t="shared" si="147"/>
        <v>0.27038107810989481</v>
      </c>
      <c r="BW100" s="5">
        <f t="shared" si="148"/>
        <v>2.0235000000000003</v>
      </c>
      <c r="BX100" s="180">
        <f t="shared" si="149"/>
        <v>0.88212942654695825</v>
      </c>
      <c r="BY100" s="5">
        <f t="shared" si="150"/>
        <v>88.212942654695823</v>
      </c>
      <c r="BZ100">
        <f t="shared" si="151"/>
        <v>95</v>
      </c>
      <c r="CB100" s="582">
        <f t="shared" si="134"/>
        <v>-50</v>
      </c>
      <c r="CC100">
        <f t="shared" si="135"/>
        <v>-50</v>
      </c>
    </row>
    <row r="101" spans="5:81" x14ac:dyDescent="0.25">
      <c r="E101" s="177">
        <v>96</v>
      </c>
      <c r="F101" s="224">
        <f t="shared" si="152"/>
        <v>9.6000000000000002E-2</v>
      </c>
      <c r="G101" s="224">
        <f t="shared" si="136"/>
        <v>9.6000000000000002E-2</v>
      </c>
      <c r="H101" s="224">
        <f t="shared" si="91"/>
        <v>0.6048</v>
      </c>
      <c r="I101" s="224">
        <f t="shared" si="153"/>
        <v>1.44</v>
      </c>
      <c r="J101" s="560">
        <f t="shared" si="92"/>
        <v>24</v>
      </c>
      <c r="K101" s="455">
        <f t="shared" si="93"/>
        <v>13.1</v>
      </c>
      <c r="L101" s="455">
        <f t="shared" si="94"/>
        <v>37.1</v>
      </c>
      <c r="M101" s="455"/>
      <c r="N101" s="224">
        <f t="shared" si="95"/>
        <v>0.35309973045822102</v>
      </c>
      <c r="O101" s="179">
        <f t="shared" si="137"/>
        <v>1.6354982726547966</v>
      </c>
      <c r="P101" s="179">
        <f t="shared" si="96"/>
        <v>3.8940435063209446</v>
      </c>
      <c r="Q101" s="224">
        <f t="shared" si="97"/>
        <v>0.25960290042139628</v>
      </c>
      <c r="R101" s="224">
        <f t="shared" si="98"/>
        <v>0.10903321817698644</v>
      </c>
      <c r="S101" s="455">
        <f t="shared" si="99"/>
        <v>6.3</v>
      </c>
      <c r="T101" s="224">
        <f t="shared" si="100"/>
        <v>0.53620356234096689</v>
      </c>
      <c r="U101" s="224">
        <f t="shared" si="101"/>
        <v>1.2287998303647159</v>
      </c>
      <c r="V101" s="224">
        <f t="shared" si="102"/>
        <v>2.2512363304391743</v>
      </c>
      <c r="W101" s="204">
        <f t="shared" si="103"/>
        <v>350</v>
      </c>
      <c r="X101" s="455">
        <f t="shared" si="138"/>
        <v>287.35333594033676</v>
      </c>
      <c r="Z101" s="224">
        <f t="shared" si="104"/>
        <v>0.44022823537648331</v>
      </c>
      <c r="AA101" s="180">
        <f t="shared" si="105"/>
        <v>1.8482864844050828</v>
      </c>
      <c r="AB101" s="180">
        <f t="shared" ref="AB101:AB105" si="154">0.5*AA101*Z101*Nps*W101/1000*(Pout/Pout_total)</f>
        <v>8.4231817558083441E-2</v>
      </c>
      <c r="AC101" s="180"/>
      <c r="AD101" s="180">
        <f t="shared" si="107"/>
        <v>1.217557251908397</v>
      </c>
      <c r="AE101" s="564">
        <f t="shared" ref="AE101:AE105" si="155">MAX(10, F101/(0.5*AD101/1000000*Isw_min*Nps)/1000*Pout_total/Pout)</f>
        <v>919.2272650060994</v>
      </c>
      <c r="AF101" s="547">
        <f t="shared" si="109"/>
        <v>3.6552440597785188E-2</v>
      </c>
      <c r="AH101" s="180">
        <f t="shared" si="110"/>
        <v>0.46091946503348419</v>
      </c>
      <c r="AI101" s="180">
        <f t="shared" ref="AI101:AI105" si="156">MAX(IF(F101&gt;AB101,T101,AH101),Isw_min)</f>
        <v>0.53620356234096689</v>
      </c>
      <c r="AJ101" s="180">
        <f t="shared" ref="AJ101:AJ105" si="157">IF(F101&gt;AF101, (AI101-Isw_min)/1.08*0.8+1.2, AE101*0.2/350+1)</f>
        <v>1.382373009141457</v>
      </c>
      <c r="AL101" s="564">
        <f t="shared" si="113"/>
        <v>96</v>
      </c>
      <c r="AM101" s="473">
        <f t="shared" si="114"/>
        <v>287.35333594033676</v>
      </c>
      <c r="AO101">
        <f t="shared" si="139"/>
        <v>96</v>
      </c>
      <c r="AP101">
        <f t="shared" si="115"/>
        <v>287.35333594033676</v>
      </c>
      <c r="AR101" s="5">
        <f t="shared" si="140"/>
        <v>3.4800361608038899</v>
      </c>
      <c r="AS101" s="5">
        <f t="shared" si="116"/>
        <v>1.2287998303647159</v>
      </c>
      <c r="AT101" s="5">
        <f t="shared" si="141"/>
        <v>2.2512363304391743</v>
      </c>
      <c r="AU101" s="180">
        <f t="shared" si="142"/>
        <v>0.35309973045822102</v>
      </c>
      <c r="AW101" s="5">
        <f t="shared" si="117"/>
        <v>1.8724568843652813</v>
      </c>
      <c r="AX101" s="5">
        <f t="shared" si="118"/>
        <v>0.78643189143341818</v>
      </c>
      <c r="AY101" s="5">
        <f t="shared" si="119"/>
        <v>5.2528847710247392E-2</v>
      </c>
      <c r="AZ101" s="5"/>
      <c r="BA101" s="180">
        <f t="shared" si="143"/>
        <v>0.18395761088107868</v>
      </c>
      <c r="BB101" s="180">
        <f t="shared" si="120"/>
        <v>0.14729183586834191</v>
      </c>
      <c r="BC101" s="180">
        <f t="shared" si="121"/>
        <v>0.15062631146567362</v>
      </c>
      <c r="BD101" s="180"/>
      <c r="BE101" s="547">
        <f t="shared" si="122"/>
        <v>1.1844140910376024E-2</v>
      </c>
      <c r="BF101" s="547">
        <f t="shared" si="123"/>
        <v>5.7163636363636361E-2</v>
      </c>
      <c r="BG101" s="547">
        <f t="shared" si="124"/>
        <v>3.5919166992542093E-3</v>
      </c>
      <c r="BH101" s="547">
        <f t="shared" si="125"/>
        <v>2.2742170294494237E-2</v>
      </c>
      <c r="BI101">
        <f t="shared" si="126"/>
        <v>6.96E-3</v>
      </c>
      <c r="BJ101" s="473">
        <f t="shared" si="144"/>
        <v>102.30186426776083</v>
      </c>
      <c r="BK101" s="180">
        <f t="shared" si="127"/>
        <v>3.3599999999999998E-2</v>
      </c>
      <c r="BL101" s="180">
        <f t="shared" si="128"/>
        <v>3.3599999999999998E-2</v>
      </c>
      <c r="BM101" s="547"/>
      <c r="BO101" s="473">
        <f t="shared" si="145"/>
        <v>67.2</v>
      </c>
      <c r="BP101" s="547">
        <f t="shared" si="129"/>
        <v>3.7224442861181792E-3</v>
      </c>
      <c r="BQ101" s="547">
        <f t="shared" si="130"/>
        <v>7.593209719713301E-4</v>
      </c>
      <c r="BR101" s="547">
        <f t="shared" si="131"/>
        <v>6.8064857117262358E-4</v>
      </c>
      <c r="BS101" s="547">
        <f t="shared" si="132"/>
        <v>1.4734481234024497E-2</v>
      </c>
      <c r="BT101" s="657">
        <f t="shared" si="133"/>
        <v>8.2618181818181813E-2</v>
      </c>
      <c r="BU101" s="473">
        <f t="shared" si="146"/>
        <v>102.51507688146843</v>
      </c>
      <c r="BV101" s="180">
        <f t="shared" si="147"/>
        <v>0.27201694114922925</v>
      </c>
      <c r="BW101" s="5">
        <f t="shared" si="148"/>
        <v>2.0448</v>
      </c>
      <c r="BX101" s="180">
        <f t="shared" si="149"/>
        <v>0.88259023131352865</v>
      </c>
      <c r="BY101" s="5">
        <f t="shared" si="150"/>
        <v>88.259023131352862</v>
      </c>
      <c r="BZ101">
        <f t="shared" si="151"/>
        <v>96</v>
      </c>
      <c r="CB101" s="582">
        <f t="shared" si="134"/>
        <v>-50</v>
      </c>
      <c r="CC101">
        <f t="shared" si="135"/>
        <v>-50</v>
      </c>
    </row>
    <row r="102" spans="5:81" x14ac:dyDescent="0.25">
      <c r="E102" s="177">
        <v>97</v>
      </c>
      <c r="F102" s="224">
        <f t="shared" si="152"/>
        <v>9.7000000000000003E-2</v>
      </c>
      <c r="G102" s="224">
        <f t="shared" si="136"/>
        <v>9.7000000000000003E-2</v>
      </c>
      <c r="H102" s="224">
        <f t="shared" si="91"/>
        <v>0.61109999999999998</v>
      </c>
      <c r="I102" s="224">
        <f t="shared" si="153"/>
        <v>1.4550000000000001</v>
      </c>
      <c r="J102" s="560">
        <f t="shared" si="92"/>
        <v>24</v>
      </c>
      <c r="K102" s="455">
        <f t="shared" si="93"/>
        <v>13.1</v>
      </c>
      <c r="L102" s="455">
        <f t="shared" si="94"/>
        <v>37.1</v>
      </c>
      <c r="M102" s="455"/>
      <c r="N102" s="224">
        <f t="shared" si="95"/>
        <v>0.35309973045822102</v>
      </c>
      <c r="O102" s="179">
        <f t="shared" ref="O102:O105" si="158">N102*J102*Isw_max*0.5*Efficiency*Pout/(Pout+Pout2)</f>
        <v>1.6354982726547966</v>
      </c>
      <c r="P102" s="179">
        <f t="shared" si="96"/>
        <v>3.8940435063209446</v>
      </c>
      <c r="Q102" s="224">
        <f t="shared" si="97"/>
        <v>0.25960290042139628</v>
      </c>
      <c r="R102" s="224">
        <f t="shared" si="98"/>
        <v>0.10903321817698644</v>
      </c>
      <c r="S102" s="455">
        <f t="shared" si="99"/>
        <v>6.3</v>
      </c>
      <c r="T102" s="224">
        <f t="shared" si="100"/>
        <v>0.54178901611535202</v>
      </c>
      <c r="U102" s="224">
        <f t="shared" si="101"/>
        <v>1.2415998285976819</v>
      </c>
      <c r="V102" s="224">
        <f t="shared" si="102"/>
        <v>2.2746867088812488</v>
      </c>
      <c r="W102" s="204">
        <f t="shared" si="103"/>
        <v>350</v>
      </c>
      <c r="X102" s="455">
        <f t="shared" si="138"/>
        <v>284.39093041517867</v>
      </c>
      <c r="Z102" s="224">
        <f t="shared" si="104"/>
        <v>0.44022823537648331</v>
      </c>
      <c r="AA102" s="180">
        <f t="shared" si="105"/>
        <v>1.8482864844050828</v>
      </c>
      <c r="AB102" s="180">
        <f t="shared" si="154"/>
        <v>8.4231817558083441E-2</v>
      </c>
      <c r="AC102" s="180"/>
      <c r="AD102" s="180">
        <f t="shared" si="107"/>
        <v>1.217557251908397</v>
      </c>
      <c r="AE102" s="564">
        <f t="shared" si="155"/>
        <v>928.80254901657975</v>
      </c>
      <c r="AF102" s="547">
        <f t="shared" si="109"/>
        <v>3.6552440597785188E-2</v>
      </c>
      <c r="AH102" s="180">
        <f t="shared" si="110"/>
        <v>0.46331386797692586</v>
      </c>
      <c r="AI102" s="180">
        <f t="shared" si="156"/>
        <v>0.54178901611535202</v>
      </c>
      <c r="AJ102" s="180">
        <f t="shared" si="157"/>
        <v>1.3865103823076681</v>
      </c>
      <c r="AL102" s="564">
        <f t="shared" si="113"/>
        <v>97</v>
      </c>
      <c r="AM102" s="473">
        <f t="shared" si="114"/>
        <v>284.39093041517867</v>
      </c>
      <c r="AO102">
        <f t="shared" si="139"/>
        <v>97</v>
      </c>
      <c r="AP102">
        <f t="shared" si="115"/>
        <v>284.39093041517867</v>
      </c>
      <c r="AR102" s="5">
        <f t="shared" si="140"/>
        <v>3.5162865374789303</v>
      </c>
      <c r="AS102" s="5">
        <f t="shared" si="116"/>
        <v>1.2415998285976819</v>
      </c>
      <c r="AT102" s="5">
        <f t="shared" si="141"/>
        <v>2.2746867088812484</v>
      </c>
      <c r="AU102" s="180">
        <f t="shared" si="142"/>
        <v>0.35309973045822113</v>
      </c>
      <c r="AW102" s="5">
        <f t="shared" si="117"/>
        <v>1.9116695773646848</v>
      </c>
      <c r="AX102" s="5">
        <f t="shared" si="118"/>
        <v>0.80290122249316764</v>
      </c>
      <c r="AY102" s="5">
        <f t="shared" si="119"/>
        <v>5.3628898448971077E-2</v>
      </c>
      <c r="AZ102" s="5"/>
      <c r="BA102" s="180">
        <f t="shared" si="143"/>
        <v>0.18587383599442328</v>
      </c>
      <c r="BB102" s="180">
        <f t="shared" si="120"/>
        <v>0.14882612582530383</v>
      </c>
      <c r="BC102" s="180">
        <f t="shared" si="121"/>
        <v>0.15219533554344108</v>
      </c>
      <c r="BD102" s="180"/>
      <c r="BE102" s="547">
        <f t="shared" si="122"/>
        <v>1.2092179017548617E-2</v>
      </c>
      <c r="BF102" s="547">
        <f t="shared" si="123"/>
        <v>5.7163636363636375E-2</v>
      </c>
      <c r="BG102" s="547">
        <f t="shared" si="124"/>
        <v>3.5548866301897335E-3</v>
      </c>
      <c r="BH102" s="547">
        <f t="shared" si="125"/>
        <v>2.2507714930633475E-2</v>
      </c>
      <c r="BI102">
        <f t="shared" si="126"/>
        <v>6.96E-3</v>
      </c>
      <c r="BJ102" s="473">
        <f t="shared" si="144"/>
        <v>102.27841694200819</v>
      </c>
      <c r="BK102" s="180">
        <f t="shared" si="127"/>
        <v>3.3950000000000001E-2</v>
      </c>
      <c r="BL102" s="180">
        <f t="shared" si="128"/>
        <v>3.3950000000000001E-2</v>
      </c>
      <c r="BM102" s="547"/>
      <c r="BO102" s="473">
        <f t="shared" si="145"/>
        <v>67.900000000000006</v>
      </c>
      <c r="BP102" s="547">
        <f t="shared" si="129"/>
        <v>3.8003991198009941E-3</v>
      </c>
      <c r="BQ102" s="547">
        <f t="shared" si="130"/>
        <v>7.7522255048592095E-4</v>
      </c>
      <c r="BR102" s="547">
        <f t="shared" si="131"/>
        <v>6.9490260483541857E-4</v>
      </c>
      <c r="BS102" s="547">
        <f t="shared" si="132"/>
        <v>1.4734481234024493E-2</v>
      </c>
      <c r="BT102" s="657">
        <f t="shared" si="133"/>
        <v>8.3478787878787916E-2</v>
      </c>
      <c r="BU102" s="473">
        <f t="shared" si="146"/>
        <v>103.48379338793474</v>
      </c>
      <c r="BV102" s="180">
        <f t="shared" si="147"/>
        <v>0.27366221032994292</v>
      </c>
      <c r="BW102" s="5">
        <f t="shared" si="148"/>
        <v>2.0661</v>
      </c>
      <c r="BX102" s="180">
        <f t="shared" si="149"/>
        <v>0.88303845188979591</v>
      </c>
      <c r="BY102" s="5">
        <f t="shared" si="150"/>
        <v>88.303845188979594</v>
      </c>
      <c r="BZ102">
        <f t="shared" si="151"/>
        <v>97</v>
      </c>
      <c r="CB102" s="582">
        <f t="shared" si="134"/>
        <v>-50</v>
      </c>
      <c r="CC102">
        <f t="shared" si="135"/>
        <v>-50</v>
      </c>
    </row>
    <row r="103" spans="5:81" x14ac:dyDescent="0.25">
      <c r="E103" s="177">
        <v>98</v>
      </c>
      <c r="F103" s="224">
        <f t="shared" si="152"/>
        <v>9.8000000000000004E-2</v>
      </c>
      <c r="G103" s="224">
        <f t="shared" si="136"/>
        <v>9.8000000000000004E-2</v>
      </c>
      <c r="H103" s="224">
        <f t="shared" si="91"/>
        <v>0.61740000000000006</v>
      </c>
      <c r="I103" s="224">
        <f t="shared" si="153"/>
        <v>1.47</v>
      </c>
      <c r="J103" s="560">
        <f t="shared" si="92"/>
        <v>24</v>
      </c>
      <c r="K103" s="455">
        <f t="shared" si="93"/>
        <v>13.1</v>
      </c>
      <c r="L103" s="455">
        <f t="shared" si="94"/>
        <v>37.1</v>
      </c>
      <c r="M103" s="455"/>
      <c r="N103" s="224">
        <f t="shared" si="95"/>
        <v>0.35309973045822102</v>
      </c>
      <c r="O103" s="179">
        <f t="shared" si="158"/>
        <v>1.6354982726547966</v>
      </c>
      <c r="P103" s="179">
        <f t="shared" si="96"/>
        <v>3.8940435063209446</v>
      </c>
      <c r="Q103" s="224">
        <f t="shared" si="97"/>
        <v>0.25960290042139628</v>
      </c>
      <c r="R103" s="224">
        <f t="shared" si="98"/>
        <v>0.10903321817698644</v>
      </c>
      <c r="S103" s="455">
        <f t="shared" si="99"/>
        <v>6.3</v>
      </c>
      <c r="T103" s="224">
        <f t="shared" si="100"/>
        <v>0.54737446988973704</v>
      </c>
      <c r="U103" s="224">
        <f t="shared" si="101"/>
        <v>1.2543998268306475</v>
      </c>
      <c r="V103" s="224">
        <f t="shared" si="102"/>
        <v>2.2981370873233233</v>
      </c>
      <c r="W103" s="204">
        <f t="shared" si="103"/>
        <v>350</v>
      </c>
      <c r="X103" s="455">
        <f t="shared" si="138"/>
        <v>281.48898214563599</v>
      </c>
      <c r="Z103" s="224">
        <f t="shared" si="104"/>
        <v>0.44022823537648331</v>
      </c>
      <c r="AA103" s="180">
        <f t="shared" si="105"/>
        <v>1.8482864844050828</v>
      </c>
      <c r="AB103" s="180">
        <f t="shared" si="154"/>
        <v>8.4231817558083441E-2</v>
      </c>
      <c r="AC103" s="180"/>
      <c r="AD103" s="180">
        <f t="shared" si="107"/>
        <v>1.217557251908397</v>
      </c>
      <c r="AE103" s="564">
        <f t="shared" si="155"/>
        <v>938.37783302706009</v>
      </c>
      <c r="AF103" s="547">
        <f t="shared" si="109"/>
        <v>3.6552440597785188E-2</v>
      </c>
      <c r="AH103" s="180">
        <f t="shared" si="110"/>
        <v>0.4656959601206857</v>
      </c>
      <c r="AI103" s="180">
        <f t="shared" si="156"/>
        <v>0.54737446988973704</v>
      </c>
      <c r="AJ103" s="180">
        <f t="shared" si="157"/>
        <v>1.3906477554738792</v>
      </c>
      <c r="AL103" s="564">
        <f t="shared" si="113"/>
        <v>98</v>
      </c>
      <c r="AM103" s="473">
        <f t="shared" si="114"/>
        <v>281.48898214563599</v>
      </c>
      <c r="AO103">
        <f t="shared" si="139"/>
        <v>98</v>
      </c>
      <c r="AP103">
        <f t="shared" si="115"/>
        <v>281.48898214563599</v>
      </c>
      <c r="AR103" s="5">
        <f t="shared" si="140"/>
        <v>3.5525369141539715</v>
      </c>
      <c r="AS103" s="5">
        <f t="shared" si="116"/>
        <v>1.2543998268306475</v>
      </c>
      <c r="AT103" s="5">
        <f t="shared" si="141"/>
        <v>2.2981370873233242</v>
      </c>
      <c r="AU103" s="180">
        <f t="shared" si="142"/>
        <v>0.35309973045822102</v>
      </c>
      <c r="AW103" s="5">
        <f t="shared" si="117"/>
        <v>1.9512886195143406</v>
      </c>
      <c r="AX103" s="5">
        <f t="shared" si="118"/>
        <v>0.81954122019602316</v>
      </c>
      <c r="AY103" s="5">
        <f t="shared" si="119"/>
        <v>5.4740348677215285E-2</v>
      </c>
      <c r="AZ103" s="5"/>
      <c r="BA103" s="180">
        <f t="shared" si="143"/>
        <v>0.1877900611077678</v>
      </c>
      <c r="BB103" s="180">
        <f t="shared" si="120"/>
        <v>0.15036041578226569</v>
      </c>
      <c r="BC103" s="180">
        <f t="shared" si="121"/>
        <v>0.15376435962120849</v>
      </c>
      <c r="BD103" s="180"/>
      <c r="BE103" s="547">
        <f t="shared" si="122"/>
        <v>1.2342787467800709E-2</v>
      </c>
      <c r="BF103" s="547">
        <f t="shared" si="123"/>
        <v>5.7163636363636347E-2</v>
      </c>
      <c r="BG103" s="547">
        <f t="shared" si="124"/>
        <v>3.5186122768204498E-3</v>
      </c>
      <c r="BH103" s="547">
        <f t="shared" si="125"/>
        <v>2.2278044370116802E-2</v>
      </c>
      <c r="BI103">
        <f t="shared" si="126"/>
        <v>6.96E-3</v>
      </c>
      <c r="BJ103" s="473">
        <f t="shared" si="144"/>
        <v>102.26308047837429</v>
      </c>
      <c r="BK103" s="180">
        <f t="shared" si="127"/>
        <v>3.4299999999999997E-2</v>
      </c>
      <c r="BL103" s="180">
        <f t="shared" si="128"/>
        <v>3.4299999999999997E-2</v>
      </c>
      <c r="BM103" s="547"/>
      <c r="BO103" s="473">
        <f t="shared" si="145"/>
        <v>68.599999999999994</v>
      </c>
      <c r="BP103" s="547">
        <f t="shared" si="129"/>
        <v>3.8791617755945087E-3</v>
      </c>
      <c r="BQ103" s="547">
        <f t="shared" si="130"/>
        <v>7.9128891219755351E-4</v>
      </c>
      <c r="BR103" s="547">
        <f t="shared" si="131"/>
        <v>7.0930434869160999E-4</v>
      </c>
      <c r="BS103" s="547">
        <f t="shared" si="132"/>
        <v>1.4734481234024491E-2</v>
      </c>
      <c r="BT103" s="657">
        <f t="shared" si="133"/>
        <v>8.433939393939395E-2</v>
      </c>
      <c r="BU103" s="473">
        <f t="shared" si="146"/>
        <v>104.45363020990212</v>
      </c>
      <c r="BV103" s="180">
        <f t="shared" si="147"/>
        <v>0.27531671068827634</v>
      </c>
      <c r="BW103" s="5">
        <f t="shared" si="148"/>
        <v>2.0874000000000001</v>
      </c>
      <c r="BX103" s="180">
        <f t="shared" si="149"/>
        <v>0.88347451497557039</v>
      </c>
      <c r="BY103" s="5">
        <f t="shared" si="150"/>
        <v>88.347451497557046</v>
      </c>
      <c r="BZ103">
        <f t="shared" si="151"/>
        <v>98</v>
      </c>
      <c r="CB103" s="582">
        <f t="shared" si="134"/>
        <v>-50</v>
      </c>
      <c r="CC103">
        <f t="shared" si="135"/>
        <v>-50</v>
      </c>
    </row>
    <row r="104" spans="5:81" x14ac:dyDescent="0.25">
      <c r="E104" s="177">
        <v>99</v>
      </c>
      <c r="F104" s="224">
        <f t="shared" ref="F104:F105" si="159">IF(PLOT_TYPE=1, E104/100*Iout_max, min_I*EXP(O104*rr/100))</f>
        <v>9.9000000000000005E-2</v>
      </c>
      <c r="G104" s="224">
        <f t="shared" si="136"/>
        <v>9.9000000000000005E-2</v>
      </c>
      <c r="H104" s="224">
        <f t="shared" si="91"/>
        <v>0.62370000000000003</v>
      </c>
      <c r="I104" s="224">
        <f t="shared" si="153"/>
        <v>1.4850000000000001</v>
      </c>
      <c r="J104" s="560">
        <f t="shared" si="92"/>
        <v>24</v>
      </c>
      <c r="K104" s="455">
        <f t="shared" si="93"/>
        <v>13.1</v>
      </c>
      <c r="L104" s="455">
        <f t="shared" si="94"/>
        <v>37.1</v>
      </c>
      <c r="M104" s="455"/>
      <c r="N104" s="224">
        <f t="shared" si="95"/>
        <v>0.35309973045822102</v>
      </c>
      <c r="O104" s="179">
        <f t="shared" si="158"/>
        <v>1.6354982726547966</v>
      </c>
      <c r="P104" s="179">
        <f t="shared" si="96"/>
        <v>3.8940435063209446</v>
      </c>
      <c r="Q104" s="224">
        <f t="shared" si="97"/>
        <v>0.25960290042139628</v>
      </c>
      <c r="R104" s="224">
        <f t="shared" si="98"/>
        <v>0.10903321817698644</v>
      </c>
      <c r="S104" s="455">
        <f t="shared" si="99"/>
        <v>6.3</v>
      </c>
      <c r="T104" s="224">
        <f t="shared" si="100"/>
        <v>0.55295992366412217</v>
      </c>
      <c r="U104" s="224">
        <f t="shared" si="101"/>
        <v>1.2671998250636132</v>
      </c>
      <c r="V104" s="224">
        <f t="shared" si="102"/>
        <v>2.3215874657653988</v>
      </c>
      <c r="W104" s="204">
        <f t="shared" si="103"/>
        <v>350</v>
      </c>
      <c r="X104" s="455">
        <f t="shared" si="138"/>
        <v>278.64565909365984</v>
      </c>
      <c r="Z104" s="224">
        <f t="shared" si="104"/>
        <v>0.44022823537648331</v>
      </c>
      <c r="AA104" s="180">
        <f t="shared" si="105"/>
        <v>1.8482864844050828</v>
      </c>
      <c r="AB104" s="180">
        <f t="shared" si="154"/>
        <v>8.4231817558083441E-2</v>
      </c>
      <c r="AC104" s="180"/>
      <c r="AD104" s="180">
        <f t="shared" si="107"/>
        <v>1.217557251908397</v>
      </c>
      <c r="AE104" s="564">
        <f t="shared" si="155"/>
        <v>947.9531170375401</v>
      </c>
      <c r="AF104" s="547">
        <f t="shared" si="109"/>
        <v>3.6552440597785188E-2</v>
      </c>
      <c r="AH104" s="180">
        <f t="shared" si="110"/>
        <v>0.4680659294220359</v>
      </c>
      <c r="AI104" s="180">
        <f t="shared" si="156"/>
        <v>0.55295992366412217</v>
      </c>
      <c r="AJ104" s="180">
        <f t="shared" si="157"/>
        <v>1.3947851286400905</v>
      </c>
      <c r="AL104" s="564">
        <f t="shared" si="113"/>
        <v>99</v>
      </c>
      <c r="AM104" s="473">
        <f t="shared" si="114"/>
        <v>278.64565909365984</v>
      </c>
      <c r="AO104">
        <f t="shared" si="139"/>
        <v>99</v>
      </c>
      <c r="AP104">
        <f t="shared" si="115"/>
        <v>278.64565909365984</v>
      </c>
      <c r="AR104" s="5">
        <f t="shared" si="140"/>
        <v>3.5887872908290124</v>
      </c>
      <c r="AS104" s="5">
        <f t="shared" si="116"/>
        <v>1.2671998250636132</v>
      </c>
      <c r="AT104" s="5">
        <f t="shared" si="141"/>
        <v>2.3215874657653992</v>
      </c>
      <c r="AU104" s="180">
        <f t="shared" si="142"/>
        <v>0.35309973045822091</v>
      </c>
      <c r="AW104" s="5">
        <f t="shared" si="117"/>
        <v>1.9913140108142493</v>
      </c>
      <c r="AX104" s="5">
        <f t="shared" si="118"/>
        <v>0.83635188454198461</v>
      </c>
      <c r="AY104" s="5">
        <f t="shared" si="119"/>
        <v>5.5863198394979913E-2</v>
      </c>
      <c r="AZ104" s="5"/>
      <c r="BA104" s="180">
        <f t="shared" si="143"/>
        <v>0.18970628622111238</v>
      </c>
      <c r="BB104" s="180">
        <f t="shared" si="120"/>
        <v>0.15189470573922764</v>
      </c>
      <c r="BC104" s="180">
        <f t="shared" si="121"/>
        <v>0.15533338369897601</v>
      </c>
      <c r="BD104" s="180"/>
      <c r="BE104" s="547">
        <f t="shared" si="122"/>
        <v>1.2595966261132314E-2</v>
      </c>
      <c r="BF104" s="547">
        <f t="shared" si="123"/>
        <v>5.7163636363636361E-2</v>
      </c>
      <c r="BG104" s="547">
        <f t="shared" si="124"/>
        <v>3.4830707386707478E-3</v>
      </c>
      <c r="BH104" s="547">
        <f t="shared" si="125"/>
        <v>2.2053013618903501E-2</v>
      </c>
      <c r="BI104">
        <f t="shared" si="126"/>
        <v>6.96E-3</v>
      </c>
      <c r="BJ104" s="473">
        <f t="shared" si="144"/>
        <v>102.25568698234291</v>
      </c>
      <c r="BK104" s="180">
        <f t="shared" si="127"/>
        <v>3.465E-2</v>
      </c>
      <c r="BL104" s="180">
        <f t="shared" si="128"/>
        <v>3.465E-2</v>
      </c>
      <c r="BM104" s="547"/>
      <c r="BO104" s="473">
        <f t="shared" si="145"/>
        <v>69.3</v>
      </c>
      <c r="BP104" s="547">
        <f t="shared" si="129"/>
        <v>3.9587322534987276E-3</v>
      </c>
      <c r="BQ104" s="547">
        <f t="shared" si="130"/>
        <v>8.0752005710622941E-4</v>
      </c>
      <c r="BR104" s="547">
        <f t="shared" si="131"/>
        <v>7.2385380274119914E-4</v>
      </c>
      <c r="BS104" s="547">
        <f t="shared" si="132"/>
        <v>1.4734481234024471E-2</v>
      </c>
      <c r="BT104" s="657">
        <f t="shared" si="133"/>
        <v>8.5200000000000012E-2</v>
      </c>
      <c r="BU104" s="473">
        <f t="shared" si="146"/>
        <v>105.42458734737065</v>
      </c>
      <c r="BV104" s="180">
        <f t="shared" si="147"/>
        <v>0.27698027432971356</v>
      </c>
      <c r="BW104" s="5">
        <f t="shared" si="148"/>
        <v>2.1087000000000002</v>
      </c>
      <c r="BX104" s="180">
        <f t="shared" si="149"/>
        <v>0.88389882864436453</v>
      </c>
      <c r="BY104" s="5">
        <f t="shared" si="150"/>
        <v>88.389882864436458</v>
      </c>
      <c r="BZ104">
        <f t="shared" si="151"/>
        <v>99</v>
      </c>
      <c r="CB104" s="582">
        <f t="shared" si="134"/>
        <v>-50</v>
      </c>
      <c r="CC104">
        <f t="shared" si="135"/>
        <v>-50</v>
      </c>
    </row>
    <row r="105" spans="5:81" x14ac:dyDescent="0.25">
      <c r="E105" s="177">
        <v>100</v>
      </c>
      <c r="F105" s="224">
        <f t="shared" si="159"/>
        <v>0.1</v>
      </c>
      <c r="G105" s="224">
        <f t="shared" si="136"/>
        <v>0.1</v>
      </c>
      <c r="H105" s="224">
        <f t="shared" si="91"/>
        <v>0.63</v>
      </c>
      <c r="I105" s="224">
        <f t="shared" si="153"/>
        <v>1.5</v>
      </c>
      <c r="J105" s="560">
        <f t="shared" si="92"/>
        <v>24</v>
      </c>
      <c r="K105" s="455">
        <f t="shared" si="93"/>
        <v>13.1</v>
      </c>
      <c r="L105" s="455">
        <f t="shared" si="94"/>
        <v>37.1</v>
      </c>
      <c r="M105" s="455"/>
      <c r="N105" s="224">
        <f t="shared" si="95"/>
        <v>0.35309973045822102</v>
      </c>
      <c r="O105" s="179">
        <f t="shared" si="158"/>
        <v>1.6354982726547966</v>
      </c>
      <c r="P105" s="179">
        <f t="shared" si="96"/>
        <v>3.8940435063209446</v>
      </c>
      <c r="Q105" s="224">
        <f t="shared" si="97"/>
        <v>0.25960290042139628</v>
      </c>
      <c r="R105" s="224">
        <f t="shared" si="98"/>
        <v>0.10903321817698644</v>
      </c>
      <c r="S105" s="455">
        <f t="shared" si="99"/>
        <v>6.3</v>
      </c>
      <c r="T105" s="224">
        <f t="shared" si="100"/>
        <v>0.55854537743850718</v>
      </c>
      <c r="U105" s="224">
        <f t="shared" si="101"/>
        <v>1.279999823296579</v>
      </c>
      <c r="V105" s="224">
        <f t="shared" si="102"/>
        <v>2.3450378442074733</v>
      </c>
      <c r="W105" s="204">
        <f t="shared" si="103"/>
        <v>350</v>
      </c>
      <c r="X105" s="455">
        <f t="shared" si="138"/>
        <v>275.85920250272329</v>
      </c>
      <c r="Z105" s="224">
        <f t="shared" si="104"/>
        <v>0.44022823537648331</v>
      </c>
      <c r="AA105" s="180">
        <f t="shared" si="105"/>
        <v>1.8482864844050828</v>
      </c>
      <c r="AB105" s="180">
        <f t="shared" si="154"/>
        <v>8.4231817558083441E-2</v>
      </c>
      <c r="AC105" s="180"/>
      <c r="AD105" s="180">
        <f t="shared" si="107"/>
        <v>1.217557251908397</v>
      </c>
      <c r="AE105" s="564">
        <f t="shared" si="155"/>
        <v>957.52840104802033</v>
      </c>
      <c r="AF105" s="547">
        <f t="shared" si="109"/>
        <v>3.6552440597785188E-2</v>
      </c>
      <c r="AH105" s="180">
        <f t="shared" si="110"/>
        <v>0.47042395910359552</v>
      </c>
      <c r="AI105" s="180">
        <f t="shared" si="156"/>
        <v>0.55854537743850718</v>
      </c>
      <c r="AJ105" s="180">
        <f t="shared" si="157"/>
        <v>1.3989225018063016</v>
      </c>
      <c r="AL105" s="564">
        <f t="shared" si="113"/>
        <v>100</v>
      </c>
      <c r="AM105" s="473">
        <f t="shared" si="114"/>
        <v>275.85920250272329</v>
      </c>
      <c r="AO105">
        <f t="shared" si="139"/>
        <v>100</v>
      </c>
      <c r="AP105" s="3">
        <f t="shared" si="115"/>
        <v>275.85920250272329</v>
      </c>
      <c r="AR105" s="5">
        <f t="shared" si="140"/>
        <v>3.6250376675040523</v>
      </c>
      <c r="AS105" s="5">
        <f t="shared" si="116"/>
        <v>1.279999823296579</v>
      </c>
      <c r="AT105" s="5">
        <f t="shared" si="141"/>
        <v>2.3450378442074733</v>
      </c>
      <c r="AU105" s="180">
        <f t="shared" si="142"/>
        <v>0.35309973045822102</v>
      </c>
      <c r="AW105" s="5">
        <f t="shared" si="117"/>
        <v>2.031745751264411</v>
      </c>
      <c r="AX105" s="5">
        <f t="shared" si="118"/>
        <v>0.85333321553105257</v>
      </c>
      <c r="AY105" s="5">
        <f t="shared" si="119"/>
        <v>5.699744760226496E-2</v>
      </c>
      <c r="AZ105" s="5"/>
      <c r="BA105" s="180">
        <f t="shared" si="143"/>
        <v>0.19162251133445696</v>
      </c>
      <c r="BB105" s="180">
        <f t="shared" si="120"/>
        <v>0.15342899569618951</v>
      </c>
      <c r="BC105" s="180">
        <f t="shared" si="121"/>
        <v>0.15690240777674336</v>
      </c>
      <c r="BD105" s="180"/>
      <c r="BE105" s="547">
        <f t="shared" si="122"/>
        <v>1.2851715397543428E-2</v>
      </c>
      <c r="BF105" s="547">
        <f t="shared" si="123"/>
        <v>5.7163636363636361E-2</v>
      </c>
      <c r="BG105" s="547">
        <f t="shared" si="124"/>
        <v>3.4482400312840409E-3</v>
      </c>
      <c r="BH105" s="547">
        <f t="shared" si="125"/>
        <v>2.1832483482714469E-2</v>
      </c>
      <c r="BI105">
        <f t="shared" si="126"/>
        <v>6.96E-3</v>
      </c>
      <c r="BJ105" s="473">
        <f t="shared" si="144"/>
        <v>102.25607527517829</v>
      </c>
      <c r="BK105" s="180">
        <f t="shared" si="127"/>
        <v>3.4999999999999996E-2</v>
      </c>
      <c r="BL105" s="180">
        <f t="shared" si="128"/>
        <v>3.4999999999999996E-2</v>
      </c>
      <c r="BM105" s="547"/>
      <c r="BO105" s="473">
        <f t="shared" si="145"/>
        <v>69.999999999999986</v>
      </c>
      <c r="BP105" s="547">
        <f t="shared" si="129"/>
        <v>4.0391105535136492E-3</v>
      </c>
      <c r="BQ105" s="547">
        <f t="shared" si="130"/>
        <v>8.2391598521194701E-4</v>
      </c>
      <c r="BR105" s="547">
        <f t="shared" si="131"/>
        <v>7.3855096698418362E-4</v>
      </c>
      <c r="BS105" s="547">
        <f t="shared" si="132"/>
        <v>1.4734481234024491E-2</v>
      </c>
      <c r="BT105" s="657">
        <f t="shared" si="133"/>
        <v>8.606060606060606E-2</v>
      </c>
      <c r="BU105" s="473">
        <f t="shared" si="146"/>
        <v>106.39666480034032</v>
      </c>
      <c r="BV105" s="180">
        <f t="shared" si="147"/>
        <v>0.2786527400755186</v>
      </c>
      <c r="BW105" s="5">
        <f t="shared" si="148"/>
        <v>2.13</v>
      </c>
      <c r="BX105" s="180">
        <f t="shared" si="149"/>
        <v>0.88431178333046789</v>
      </c>
      <c r="BY105" s="5">
        <f t="shared" si="150"/>
        <v>88.431178333046788</v>
      </c>
      <c r="BZ105">
        <f t="shared" si="151"/>
        <v>100</v>
      </c>
      <c r="CB105" s="582">
        <f t="shared" si="134"/>
        <v>-50</v>
      </c>
      <c r="CC105">
        <f t="shared" si="135"/>
        <v>-50</v>
      </c>
    </row>
    <row r="106" spans="5:81" x14ac:dyDescent="0.25">
      <c r="E106" s="177"/>
      <c r="F106" s="224"/>
      <c r="G106" s="224"/>
      <c r="H106" s="224"/>
      <c r="I106" s="224"/>
      <c r="J106" s="560"/>
      <c r="K106" s="455"/>
      <c r="L106" s="455"/>
      <c r="M106" s="455"/>
      <c r="N106" s="224"/>
      <c r="O106" s="179"/>
      <c r="P106" s="179"/>
      <c r="Q106" s="224"/>
      <c r="R106" s="224"/>
      <c r="S106" s="224"/>
      <c r="T106" s="224"/>
      <c r="U106" s="224"/>
      <c r="V106" s="224"/>
      <c r="W106" s="204"/>
      <c r="X106" s="455"/>
      <c r="Z106" s="224"/>
      <c r="AA106" s="180"/>
      <c r="AB106" s="180"/>
      <c r="AC106" s="180"/>
      <c r="AD106" s="180"/>
      <c r="AE106" s="564"/>
      <c r="AF106" s="547"/>
      <c r="AH106" s="180"/>
      <c r="AI106" s="180"/>
      <c r="AJ106" s="180"/>
      <c r="AL106" s="564"/>
      <c r="AM106" s="473"/>
      <c r="AP106" s="3"/>
      <c r="AR106" s="5"/>
      <c r="AS106" s="5"/>
      <c r="AT106" s="5"/>
      <c r="AU106" s="180"/>
      <c r="AW106" s="5"/>
      <c r="AX106" s="5"/>
      <c r="AY106" s="5"/>
      <c r="AZ106" s="5"/>
      <c r="BA106" s="180"/>
      <c r="BB106" s="180"/>
      <c r="BC106" s="180"/>
      <c r="BD106" s="180"/>
      <c r="BE106" s="547"/>
      <c r="BF106" s="547"/>
      <c r="BG106" s="547"/>
      <c r="BH106" s="547"/>
      <c r="BJ106" s="473"/>
      <c r="BK106" s="180"/>
      <c r="BL106" s="180"/>
      <c r="BM106" s="547"/>
      <c r="BO106" s="473"/>
      <c r="BP106" s="547"/>
      <c r="BQ106" s="547"/>
      <c r="BR106" s="547"/>
      <c r="BS106" s="547"/>
      <c r="BT106" s="657"/>
      <c r="BU106" s="473"/>
      <c r="BV106" s="180"/>
      <c r="BW106" s="5"/>
      <c r="BX106" s="180"/>
      <c r="BY106" s="5"/>
    </row>
    <row r="107" spans="5:81" x14ac:dyDescent="0.25">
      <c r="G107" s="224"/>
      <c r="H107" s="224"/>
      <c r="I107" s="224"/>
      <c r="J107" s="560"/>
      <c r="K107" s="455"/>
      <c r="L107" s="455"/>
      <c r="M107" s="455"/>
      <c r="N107" s="224"/>
      <c r="O107" s="179"/>
      <c r="P107" s="179"/>
      <c r="Q107" s="224"/>
      <c r="R107" s="224"/>
      <c r="S107" s="224"/>
      <c r="T107" s="224"/>
      <c r="U107" s="224"/>
      <c r="V107" s="224"/>
      <c r="W107" s="204"/>
      <c r="X107" s="455"/>
      <c r="Z107" s="224"/>
      <c r="AA107" s="180"/>
      <c r="AB107" s="180"/>
      <c r="AC107" s="180"/>
      <c r="AD107" s="180"/>
      <c r="AE107" s="564"/>
      <c r="AF107" s="547"/>
      <c r="AH107" s="180"/>
      <c r="AI107" s="180"/>
      <c r="AJ107" s="180"/>
      <c r="AL107" s="564"/>
      <c r="AM107" s="473"/>
      <c r="AR107" s="5"/>
      <c r="AS107" s="5"/>
      <c r="AT107" s="5"/>
      <c r="AU107" s="180"/>
      <c r="AW107" s="5"/>
      <c r="AX107" s="5"/>
      <c r="AY107" s="5"/>
      <c r="AZ107" s="5"/>
      <c r="BA107" s="180"/>
      <c r="BB107" s="180"/>
      <c r="BC107" s="180"/>
      <c r="BD107" s="180"/>
      <c r="BE107" s="547"/>
      <c r="BF107" s="547"/>
      <c r="BG107" s="547"/>
      <c r="BH107" s="547"/>
      <c r="BJ107" s="473"/>
      <c r="BK107" s="180"/>
      <c r="BL107" s="180"/>
      <c r="BM107" s="547"/>
      <c r="BO107" s="473"/>
      <c r="BP107" s="547"/>
      <c r="BQ107" s="547"/>
      <c r="BR107" s="547"/>
      <c r="BS107" s="547"/>
      <c r="BT107" s="657"/>
      <c r="BU107" s="473"/>
      <c r="BV107" s="180"/>
      <c r="BW107" s="5"/>
      <c r="BX107" s="180"/>
      <c r="BY107" s="5"/>
    </row>
    <row r="108" spans="5:81" x14ac:dyDescent="0.25">
      <c r="E108" s="457" t="s">
        <v>447</v>
      </c>
      <c r="G108" s="224"/>
      <c r="H108" s="224"/>
      <c r="I108" s="224"/>
      <c r="J108" s="560"/>
      <c r="K108" s="455"/>
      <c r="L108" s="455"/>
      <c r="M108" s="455"/>
      <c r="N108" s="224"/>
      <c r="O108" s="179"/>
      <c r="P108" s="179"/>
      <c r="Q108" s="224"/>
      <c r="R108" s="224"/>
      <c r="S108" s="224"/>
      <c r="T108" s="224"/>
      <c r="U108" s="224"/>
      <c r="V108" s="224"/>
      <c r="W108" s="204"/>
      <c r="X108" s="455"/>
      <c r="Z108" s="224"/>
      <c r="AA108" s="180"/>
      <c r="AB108" s="180"/>
      <c r="AC108" s="180"/>
      <c r="AD108" s="180"/>
      <c r="AE108" s="564"/>
      <c r="AF108" s="547"/>
      <c r="AH108" s="180"/>
      <c r="AI108" s="180"/>
      <c r="AJ108" s="180"/>
      <c r="AL108" s="564"/>
      <c r="AM108" s="473"/>
      <c r="AR108" s="5"/>
      <c r="AS108" s="5"/>
      <c r="AT108" s="5"/>
      <c r="AU108" s="180"/>
      <c r="AW108" s="552" t="s">
        <v>483</v>
      </c>
      <c r="AX108" s="552" t="s">
        <v>483</v>
      </c>
      <c r="AY108" s="552"/>
      <c r="AZ108" s="552"/>
      <c r="BA108" s="578" t="s">
        <v>484</v>
      </c>
      <c r="BB108" s="552"/>
      <c r="BC108" s="552"/>
      <c r="BD108" s="552"/>
      <c r="BE108" s="578" t="s">
        <v>508</v>
      </c>
      <c r="BF108" s="552"/>
      <c r="BG108" s="552"/>
      <c r="BH108" s="552"/>
      <c r="BI108" s="552"/>
      <c r="BJ108" s="552"/>
      <c r="BK108" s="578" t="s">
        <v>504</v>
      </c>
      <c r="BL108" s="552"/>
      <c r="BM108" s="552"/>
      <c r="BN108" s="552"/>
      <c r="BO108" s="552"/>
      <c r="BP108" s="579" t="s">
        <v>505</v>
      </c>
      <c r="BQ108" s="552"/>
      <c r="BR108" s="552"/>
      <c r="BS108" s="552"/>
      <c r="BT108" s="552"/>
      <c r="BU108" s="552"/>
      <c r="BV108" s="578"/>
      <c r="BW108" s="552"/>
      <c r="BX108" s="552"/>
      <c r="BY108" s="552"/>
      <c r="BZ108" s="552"/>
    </row>
    <row r="109" spans="5:81" ht="45" customHeight="1" thickBot="1" x14ac:dyDescent="0.3">
      <c r="E109" s="248" t="s">
        <v>25</v>
      </c>
      <c r="F109" s="626" t="s">
        <v>605</v>
      </c>
      <c r="G109" s="456" t="s">
        <v>604</v>
      </c>
      <c r="H109" s="627" t="s">
        <v>606</v>
      </c>
      <c r="I109" s="628" t="s">
        <v>607</v>
      </c>
      <c r="J109" s="249" t="s">
        <v>425</v>
      </c>
      <c r="K109" s="250" t="s">
        <v>431</v>
      </c>
      <c r="L109" s="546" t="s">
        <v>426</v>
      </c>
      <c r="M109" s="546"/>
      <c r="N109" s="251" t="s">
        <v>48</v>
      </c>
      <c r="O109" s="630" t="s">
        <v>615</v>
      </c>
      <c r="P109" s="630" t="s">
        <v>631</v>
      </c>
      <c r="Q109" s="546" t="s">
        <v>416</v>
      </c>
      <c r="R109" s="630" t="s">
        <v>609</v>
      </c>
      <c r="S109" s="546" t="s">
        <v>446</v>
      </c>
      <c r="T109" s="630" t="s">
        <v>427</v>
      </c>
      <c r="U109" s="546" t="s">
        <v>479</v>
      </c>
      <c r="V109" s="546" t="s">
        <v>478</v>
      </c>
      <c r="W109" s="566" t="s">
        <v>433</v>
      </c>
      <c r="X109" s="561" t="s">
        <v>438</v>
      </c>
      <c r="Z109" s="252" t="s">
        <v>430</v>
      </c>
      <c r="AA109" s="252" t="s">
        <v>477</v>
      </c>
      <c r="AB109" s="252" t="s">
        <v>612</v>
      </c>
      <c r="AC109" s="563"/>
      <c r="AD109" s="252" t="s">
        <v>476</v>
      </c>
      <c r="AE109" s="631" t="s">
        <v>439</v>
      </c>
      <c r="AF109" s="252" t="s">
        <v>613</v>
      </c>
      <c r="AG109" s="563"/>
      <c r="AH109" s="180"/>
      <c r="AI109" s="567" t="s">
        <v>443</v>
      </c>
      <c r="AJ109" s="567" t="s">
        <v>444</v>
      </c>
      <c r="AL109" s="562" t="s">
        <v>276</v>
      </c>
      <c r="AM109" s="562" t="s">
        <v>445</v>
      </c>
      <c r="AO109" s="252" t="s">
        <v>276</v>
      </c>
      <c r="AP109" s="252" t="s">
        <v>445</v>
      </c>
      <c r="AQ109" s="568"/>
      <c r="AR109" s="252" t="s">
        <v>480</v>
      </c>
      <c r="AS109" s="252" t="s">
        <v>474</v>
      </c>
      <c r="AT109" s="252" t="s">
        <v>475</v>
      </c>
      <c r="AU109" s="252" t="s">
        <v>48</v>
      </c>
      <c r="AV109" s="563"/>
      <c r="AW109" s="252" t="s">
        <v>616</v>
      </c>
      <c r="AX109" s="252" t="s">
        <v>617</v>
      </c>
      <c r="AY109" s="252" t="s">
        <v>531</v>
      </c>
      <c r="AZ109" s="563"/>
      <c r="BA109" s="577" t="s">
        <v>469</v>
      </c>
      <c r="BB109" s="252" t="s">
        <v>624</v>
      </c>
      <c r="BC109" s="252" t="s">
        <v>623</v>
      </c>
      <c r="BD109" s="563"/>
      <c r="BE109" s="577" t="s">
        <v>487</v>
      </c>
      <c r="BF109" s="252" t="s">
        <v>488</v>
      </c>
      <c r="BG109" s="252" t="s">
        <v>486</v>
      </c>
      <c r="BH109" s="252" t="s">
        <v>482</v>
      </c>
      <c r="BI109" s="252" t="s">
        <v>491</v>
      </c>
      <c r="BJ109" s="252" t="s">
        <v>506</v>
      </c>
      <c r="BK109" s="577" t="s">
        <v>626</v>
      </c>
      <c r="BL109" s="252" t="s">
        <v>625</v>
      </c>
      <c r="BM109" s="252" t="s">
        <v>490</v>
      </c>
      <c r="BN109" s="252" t="s">
        <v>498</v>
      </c>
      <c r="BO109" s="252" t="s">
        <v>502</v>
      </c>
      <c r="BP109" s="577" t="s">
        <v>471</v>
      </c>
      <c r="BQ109" s="252" t="s">
        <v>628</v>
      </c>
      <c r="BR109" s="252" t="s">
        <v>627</v>
      </c>
      <c r="BS109" s="252" t="s">
        <v>481</v>
      </c>
      <c r="BT109" s="252" t="s">
        <v>499</v>
      </c>
      <c r="BU109" s="252" t="s">
        <v>501</v>
      </c>
      <c r="BV109" s="577" t="s">
        <v>497</v>
      </c>
      <c r="BW109" s="252" t="s">
        <v>224</v>
      </c>
      <c r="BX109" s="252" t="s">
        <v>47</v>
      </c>
      <c r="BY109" s="252" t="s">
        <v>500</v>
      </c>
      <c r="BZ109" s="252" t="s">
        <v>629</v>
      </c>
      <c r="CB109" s="590" t="s">
        <v>513</v>
      </c>
    </row>
    <row r="110" spans="5:81" x14ac:dyDescent="0.25">
      <c r="E110" s="177">
        <v>0.1</v>
      </c>
      <c r="F110" s="224">
        <v>1.0000000000000001E-9</v>
      </c>
      <c r="G110" s="224">
        <f t="shared" ref="G110:G141" si="160">IF(PLOT_TYPE=1, E110/100*Iout2, min_I*EXP(Q110*rr/100))</f>
        <v>1E-4</v>
      </c>
      <c r="H110" s="224">
        <f t="shared" ref="H110:H141" si="161">F110*Vout</f>
        <v>6.3000000000000002E-9</v>
      </c>
      <c r="I110" s="224">
        <f t="shared" ref="I110:I141" si="162">Vout2*G110</f>
        <v>1.5E-3</v>
      </c>
      <c r="J110" s="560">
        <f t="shared" ref="J110:J173" si="163">VIN_min</f>
        <v>10</v>
      </c>
      <c r="K110" s="455">
        <f t="shared" ref="K110:K173" si="164">(S110+Vfwd1)*Nps</f>
        <v>13.1</v>
      </c>
      <c r="L110" s="455">
        <f t="shared" ref="L110:L173" si="165">(Vout+Vfwd1)*Nps+J110</f>
        <v>23.1</v>
      </c>
      <c r="M110" s="455"/>
      <c r="N110" s="224">
        <f t="shared" ref="N110:N173" si="166">(Vout+Vfwd1)*Nps/((Vout+Vfwd1)*Nps+J110)</f>
        <v>0.5670995670995671</v>
      </c>
      <c r="O110" s="179">
        <f t="shared" ref="O110:O141" si="167">N110*J110*Isw_max*0.5*Efficiency*Pout/(Pout+Pout2)</f>
        <v>1.0944622279129324</v>
      </c>
      <c r="P110" s="179">
        <f t="shared" ref="P110:P141" si="168">N110*J110*Isw_max*0.5*Efficiency*(Pout2/Pout_total)</f>
        <v>2.6058624474117433</v>
      </c>
      <c r="Q110" s="224">
        <f t="shared" ref="Q110:Q173" si="169">O110/Vout</f>
        <v>0.17372416316078293</v>
      </c>
      <c r="R110" s="224">
        <f t="shared" ref="R110:R141" si="170">O110/Vout2</f>
        <v>7.2964148527528819E-2</v>
      </c>
      <c r="S110" s="224">
        <f t="shared" ref="S110:S141" si="171">MIN(Vout,O110/F110)</f>
        <v>6.3</v>
      </c>
      <c r="T110" s="224">
        <f t="shared" ref="T110:T141" si="172">MIN(2*(Vout*F110+Vout2*G110)/(Efficiency*J110*N110), Isw_max)</f>
        <v>5.8778872824427478E-4</v>
      </c>
      <c r="U110" s="224">
        <f t="shared" ref="U110:U173" si="173">L*T110/J110*1000000</f>
        <v>3.2328380053435108E-3</v>
      </c>
      <c r="V110" s="224">
        <f t="shared" ref="V110:V173" si="174">L*T110/K110*1000000</f>
        <v>2.4678152712545886E-3</v>
      </c>
      <c r="W110" s="204">
        <f t="shared" ref="W110:W173" si="175">IF(1/((350000*L)*(1/J110+1/K110))&gt;Isw_min, 350, 0.001/((Isw_min*L)*(1/J110+1/K110)))</f>
        <v>350</v>
      </c>
      <c r="X110" s="455">
        <f t="shared" ref="X110:X173" si="176">MIN(1/(U110+V110)*1000, 350)</f>
        <v>350</v>
      </c>
      <c r="Z110" s="224">
        <f t="shared" ref="Z110:Z173" si="177">1/((W110*1000*L)*(1/J110+1/K110))</f>
        <v>0.29459717771406085</v>
      </c>
      <c r="AA110" s="180">
        <f t="shared" ref="AA110:AA173" si="178">L*Z110/K110*1000000</f>
        <v>1.2368583797155226</v>
      </c>
      <c r="AB110" s="180">
        <f t="shared" ref="AB110:AB141" si="179">0.5*AA110*Z110*Nps*W110/1000*(Pout/(Pout+Pout2))</f>
        <v>3.7720509310379111E-2</v>
      </c>
      <c r="AC110" s="180"/>
      <c r="AD110" s="180">
        <f t="shared" ref="AD110:AD173" si="180">L*Isw_min/K110*1000000</f>
        <v>1.217557251908397</v>
      </c>
      <c r="AE110" s="564">
        <f t="shared" ref="AE110:AE141" si="181">MAX(10, F110/(0.5*AD110/1000000*Isw_min*Nps)/1000*Pout_total/Pout)</f>
        <v>10</v>
      </c>
      <c r="AF110" s="547">
        <f t="shared" ref="AF110:AF141" si="182">0.5*AD110/1000000*Isw_min*Nps*W110*1000*(Pout/Pout_total)</f>
        <v>3.6552440597785188E-2</v>
      </c>
      <c r="AH110" s="180">
        <f t="shared" ref="AH110:AH141" si="183">SQRT((H110+I110)/(0.5*L*Fsw_DCM))</f>
        <v>1.2483781894506583E-2</v>
      </c>
      <c r="AI110" s="180">
        <f t="shared" ref="AI110:AI141" si="184">MAX(IF(F110&gt;AB110,T110,AH110),Isw_min)</f>
        <v>0.28999999999999998</v>
      </c>
      <c r="AJ110" s="180">
        <f t="shared" ref="AJ110:AJ141" si="185">IF(F110&gt;AF110, (AI110-Isw_min)/1.08*0.8+1.2, AE110*0.2/350+1)</f>
        <v>1.0057142857142858</v>
      </c>
      <c r="AL110" s="564">
        <f t="shared" ref="AL110:AL141" si="186">F110*1000</f>
        <v>1.0000000000000002E-6</v>
      </c>
      <c r="AM110" s="473">
        <f t="shared" ref="AM110:AM141" si="187">IF(F110&gt;AF110, X110, AE110)</f>
        <v>10</v>
      </c>
      <c r="AO110" s="473">
        <f t="shared" ref="AO110:AO173" si="188">IF(H110&gt;O110, "",AL110)</f>
        <v>1.0000000000000002E-6</v>
      </c>
      <c r="AP110" s="473">
        <f t="shared" ref="AP110:AP173" si="189">IF(H110&gt;O110, "",AM110)</f>
        <v>10</v>
      </c>
      <c r="AR110" s="5">
        <f t="shared" si="140"/>
        <v>100</v>
      </c>
      <c r="AS110" s="5">
        <f t="shared" ref="AS110:AS114" si="190">L*AI110/J110*1000000</f>
        <v>1.5949999999999998</v>
      </c>
      <c r="AT110" s="5">
        <f t="shared" ref="AT110:AT114" si="191">AR110-AS110</f>
        <v>98.405000000000001</v>
      </c>
      <c r="AU110" s="180">
        <f t="shared" ref="AU110:AU114" si="192">AS110/AR110</f>
        <v>1.5949999999999999E-2</v>
      </c>
      <c r="AW110" s="5">
        <f t="shared" ref="AW110:AW169" si="193">F110*AS110/Vout_ripple*1000</f>
        <v>2.5317460317460314E-8</v>
      </c>
      <c r="AX110" s="5">
        <f t="shared" ref="AX110:AX169" si="194">G110*AS110/Vout_ripple2*1000</f>
        <v>1.0633333333333332E-3</v>
      </c>
      <c r="AY110" s="5">
        <f t="shared" ref="AY110:AY169" si="195">H110/Efficiency/J110*AT110/Vinripple1</f>
        <v>5.7402916666666652E-8</v>
      </c>
      <c r="AZ110" s="5"/>
      <c r="BA110" s="180">
        <f t="shared" ref="BA110:BA169" si="196">AI110*SQRT(AU110/3)</f>
        <v>2.1145488092419777E-2</v>
      </c>
      <c r="BB110" s="180">
        <f t="shared" ref="BB110:BB169" si="197">AI110*Npri_sec1*SQRT((1-AU110)/3)*(Pout/Pout_total)</f>
        <v>9.8250980936119628E-2</v>
      </c>
      <c r="BC110" s="180">
        <f t="shared" ref="BC110:BC169" si="198">AI110*Npri_sec2*SQRT((1-AU110)/3)*(Pout2/Pout_total)</f>
        <v>0.10047524201898259</v>
      </c>
      <c r="BD110" s="180"/>
      <c r="BE110" s="547">
        <f t="shared" ref="BE110:BE169" si="199">Rdson*BA110^2</f>
        <v>1.5649608333333332E-4</v>
      </c>
      <c r="BF110" s="547">
        <f t="shared" ref="BF110:BF169" si="200">0.5*L110*AI110*AM110*1000*Trise</f>
        <v>6.6989999999999997E-4</v>
      </c>
      <c r="BG110" s="547">
        <f t="shared" ref="BG110:BG169" si="201">Qg*Vdd*AM110*1000</f>
        <v>1.25E-4</v>
      </c>
      <c r="BH110" s="547">
        <f t="shared" ref="BH110:BH169" si="202">0.5*(Coss+Csw)*L110^2*AM110*1000</f>
        <v>3.0682574999999998E-4</v>
      </c>
      <c r="BI110">
        <f t="shared" ref="BI110:BI169" si="203">J110*IQ</f>
        <v>2.8999999999999998E-3</v>
      </c>
      <c r="BJ110" s="473">
        <f t="shared" ref="BJ110:BJ169" si="204">SUM(BE110:BI110)*1000</f>
        <v>4.1582218333333332</v>
      </c>
      <c r="BK110" s="180">
        <f t="shared" ref="BK110:BK169" si="205">Vfwd2*F110</f>
        <v>3.4999999999999998E-10</v>
      </c>
      <c r="BL110" s="180">
        <f t="shared" ref="BL110:BL169" si="206">Vfwd2*G110</f>
        <v>3.4999999999999997E-5</v>
      </c>
      <c r="BM110" s="547"/>
      <c r="BO110" s="473">
        <f t="shared" ref="BO110:BO169" si="207">SUM(BK110:BN110)*1000</f>
        <v>3.5000349999999993E-2</v>
      </c>
      <c r="BP110" s="547">
        <f t="shared" ref="BP110:BP169" si="208">Rdcr_pri*BA110^2</f>
        <v>4.9184483333333326E-5</v>
      </c>
      <c r="BQ110" s="547">
        <f t="shared" ref="BQ110:BQ169" si="209">Rdcr_sec*BB110^2</f>
        <v>3.37863933921841E-4</v>
      </c>
      <c r="BR110" s="547">
        <f t="shared" ref="BR110:BR169" si="210">Rdcr_sec2*BC110^2</f>
        <v>3.028582277631937E-4</v>
      </c>
      <c r="BS110" s="547">
        <f t="shared" ref="BS110:BS169" si="211">AI110^2.5*AM110^2.5*k_core</f>
        <v>7.1608569668720578E-7</v>
      </c>
      <c r="BT110" s="657">
        <f t="shared" ref="BT110:BT141" si="212">0.5*Lleak*0.000000001*AI110^2*AM110*1000</f>
        <v>8.4100000000000006E-4</v>
      </c>
      <c r="BU110" s="473">
        <f t="shared" ref="BU110:BU169" si="213">SUM(BP110:BT110)*1000</f>
        <v>1.5316227307150552</v>
      </c>
      <c r="BV110" s="180">
        <f t="shared" ref="BV110:BV169" si="214">SUM(BE110:BI110,BK110:BN110,BP110:BT110)</f>
        <v>5.724844914048388E-3</v>
      </c>
      <c r="BW110" s="5">
        <f t="shared" ref="BW110:BW169" si="215">MIN(H110+I110,O110+P110)</f>
        <v>1.5000063E-3</v>
      </c>
      <c r="BX110" s="180">
        <f t="shared" ref="BX110:BX169" si="216">BW110/(BW110+BV110)</f>
        <v>0.20761760423291589</v>
      </c>
      <c r="BY110" s="5">
        <f t="shared" ref="BY110:BY169" si="217">BX110*100</f>
        <v>20.761760423291591</v>
      </c>
      <c r="BZ110">
        <f t="shared" ref="BZ110:BZ169" si="218">F110/Iout*100</f>
        <v>9.9999999999999995E-7</v>
      </c>
      <c r="CB110" s="582">
        <f t="shared" ref="CB110:CB141" si="219">IF(ABS(F110-Ioutmax_Vinmin)&lt;Iout/200, AM110, -50)</f>
        <v>-50</v>
      </c>
      <c r="CC110">
        <f t="shared" ref="CC110:CC141" si="220">IF(ABS(F110-Ioutmax_Vinmin)&lt;Iout/200, (O110+P110)*BX110, -50)</f>
        <v>-50</v>
      </c>
    </row>
    <row r="111" spans="5:81" x14ac:dyDescent="0.25">
      <c r="E111" s="177">
        <v>1</v>
      </c>
      <c r="F111" s="224">
        <f t="shared" ref="F111:F142" si="221">IF(PLOT_TYPE=1, E111/100*Iout_max, min_I*EXP(O111*rr/100))</f>
        <v>1E-3</v>
      </c>
      <c r="G111" s="224">
        <f t="shared" si="160"/>
        <v>1E-3</v>
      </c>
      <c r="H111" s="224">
        <f t="shared" si="161"/>
        <v>6.3E-3</v>
      </c>
      <c r="I111" s="224">
        <f t="shared" si="162"/>
        <v>1.4999999999999999E-2</v>
      </c>
      <c r="J111" s="560">
        <f t="shared" si="163"/>
        <v>10</v>
      </c>
      <c r="K111" s="455">
        <f t="shared" si="164"/>
        <v>13.1</v>
      </c>
      <c r="L111" s="455">
        <f t="shared" si="165"/>
        <v>23.1</v>
      </c>
      <c r="M111" s="455"/>
      <c r="N111" s="224">
        <f t="shared" si="166"/>
        <v>0.5670995670995671</v>
      </c>
      <c r="O111" s="179">
        <f t="shared" si="167"/>
        <v>1.0944622279129324</v>
      </c>
      <c r="P111" s="179">
        <f t="shared" si="168"/>
        <v>2.6058624474117433</v>
      </c>
      <c r="Q111" s="224">
        <f t="shared" si="169"/>
        <v>0.17372416316078293</v>
      </c>
      <c r="R111" s="224">
        <f t="shared" si="170"/>
        <v>7.2964148527528819E-2</v>
      </c>
      <c r="S111" s="224">
        <f t="shared" si="171"/>
        <v>6.3</v>
      </c>
      <c r="T111" s="224">
        <f t="shared" si="172"/>
        <v>8.3465648854961823E-3</v>
      </c>
      <c r="U111" s="224">
        <f t="shared" si="173"/>
        <v>4.5906106870229009E-2</v>
      </c>
      <c r="V111" s="224">
        <f t="shared" si="174"/>
        <v>3.5042829671930537E-2</v>
      </c>
      <c r="W111" s="204">
        <f t="shared" si="175"/>
        <v>350</v>
      </c>
      <c r="X111" s="455">
        <f t="shared" si="176"/>
        <v>350</v>
      </c>
      <c r="Z111" s="224">
        <f t="shared" si="177"/>
        <v>0.29459717771406085</v>
      </c>
      <c r="AA111" s="180">
        <f t="shared" si="178"/>
        <v>1.2368583797155226</v>
      </c>
      <c r="AB111" s="180">
        <f t="shared" si="179"/>
        <v>3.7720509310379111E-2</v>
      </c>
      <c r="AC111" s="180"/>
      <c r="AD111" s="180">
        <f t="shared" si="180"/>
        <v>1.217557251908397</v>
      </c>
      <c r="AE111" s="564">
        <f t="shared" si="181"/>
        <v>10</v>
      </c>
      <c r="AF111" s="547">
        <f t="shared" si="182"/>
        <v>3.6552440597785188E-2</v>
      </c>
      <c r="AH111" s="180">
        <f t="shared" si="183"/>
        <v>4.7042395910359552E-2</v>
      </c>
      <c r="AI111" s="180">
        <f t="shared" si="184"/>
        <v>0.28999999999999998</v>
      </c>
      <c r="AJ111" s="180">
        <f t="shared" si="185"/>
        <v>1.0057142857142858</v>
      </c>
      <c r="AL111" s="564">
        <f t="shared" si="186"/>
        <v>1</v>
      </c>
      <c r="AM111" s="473">
        <f t="shared" si="187"/>
        <v>10</v>
      </c>
      <c r="AO111" s="473">
        <f t="shared" si="188"/>
        <v>1</v>
      </c>
      <c r="AP111" s="473">
        <f t="shared" si="189"/>
        <v>10</v>
      </c>
      <c r="AR111" s="5">
        <f t="shared" si="140"/>
        <v>100</v>
      </c>
      <c r="AS111" s="5">
        <f t="shared" si="190"/>
        <v>1.5949999999999998</v>
      </c>
      <c r="AT111" s="5">
        <f t="shared" si="191"/>
        <v>98.405000000000001</v>
      </c>
      <c r="AU111" s="180">
        <f t="shared" si="192"/>
        <v>1.5949999999999999E-2</v>
      </c>
      <c r="AW111" s="5">
        <f t="shared" si="193"/>
        <v>2.5317460317460315E-2</v>
      </c>
      <c r="AX111" s="5">
        <f t="shared" si="194"/>
        <v>1.0633333333333331E-2</v>
      </c>
      <c r="AY111" s="5">
        <f t="shared" si="195"/>
        <v>5.7402916666666658E-2</v>
      </c>
      <c r="AZ111" s="5"/>
      <c r="BA111" s="180">
        <f t="shared" si="196"/>
        <v>2.1145488092419777E-2</v>
      </c>
      <c r="BB111" s="180">
        <f t="shared" si="197"/>
        <v>9.8250980936119628E-2</v>
      </c>
      <c r="BC111" s="180">
        <f t="shared" si="198"/>
        <v>0.10047524201898259</v>
      </c>
      <c r="BD111" s="180"/>
      <c r="BE111" s="547">
        <f t="shared" si="199"/>
        <v>1.5649608333333332E-4</v>
      </c>
      <c r="BF111" s="547">
        <f t="shared" si="200"/>
        <v>6.6989999999999997E-4</v>
      </c>
      <c r="BG111" s="547">
        <f t="shared" si="201"/>
        <v>1.25E-4</v>
      </c>
      <c r="BH111" s="547">
        <f t="shared" si="202"/>
        <v>3.0682574999999998E-4</v>
      </c>
      <c r="BI111">
        <f t="shared" si="203"/>
        <v>2.8999999999999998E-3</v>
      </c>
      <c r="BJ111" s="473">
        <f t="shared" si="204"/>
        <v>4.1582218333333332</v>
      </c>
      <c r="BK111" s="180">
        <f t="shared" si="205"/>
        <v>3.5E-4</v>
      </c>
      <c r="BL111" s="180">
        <f t="shared" si="206"/>
        <v>3.5E-4</v>
      </c>
      <c r="BM111" s="547"/>
      <c r="BO111" s="473">
        <f t="shared" si="207"/>
        <v>0.7</v>
      </c>
      <c r="BP111" s="547">
        <f t="shared" si="208"/>
        <v>4.9184483333333326E-5</v>
      </c>
      <c r="BQ111" s="547">
        <f t="shared" si="209"/>
        <v>3.37863933921841E-4</v>
      </c>
      <c r="BR111" s="547">
        <f t="shared" si="210"/>
        <v>3.028582277631937E-4</v>
      </c>
      <c r="BS111" s="547">
        <f t="shared" si="211"/>
        <v>7.1608569668720578E-7</v>
      </c>
      <c r="BT111" s="657">
        <f t="shared" si="212"/>
        <v>8.4100000000000006E-4</v>
      </c>
      <c r="BU111" s="473">
        <f t="shared" si="213"/>
        <v>1.5316227307150552</v>
      </c>
      <c r="BV111" s="180">
        <f t="shared" si="214"/>
        <v>6.3898445640483865E-3</v>
      </c>
      <c r="BW111" s="5">
        <f t="shared" si="215"/>
        <v>2.1299999999999999E-2</v>
      </c>
      <c r="BX111" s="180">
        <f t="shared" si="216"/>
        <v>0.76923508728016632</v>
      </c>
      <c r="BY111" s="5">
        <f t="shared" si="217"/>
        <v>76.923508728016628</v>
      </c>
      <c r="BZ111">
        <f t="shared" si="218"/>
        <v>1</v>
      </c>
      <c r="CB111" s="582">
        <f t="shared" si="219"/>
        <v>-50</v>
      </c>
      <c r="CC111">
        <f t="shared" si="220"/>
        <v>-50</v>
      </c>
    </row>
    <row r="112" spans="5:81" x14ac:dyDescent="0.25">
      <c r="E112" s="177">
        <v>2</v>
      </c>
      <c r="F112" s="224">
        <f t="shared" si="221"/>
        <v>2E-3</v>
      </c>
      <c r="G112" s="224">
        <f t="shared" si="160"/>
        <v>2E-3</v>
      </c>
      <c r="H112" s="224">
        <f t="shared" si="161"/>
        <v>1.26E-2</v>
      </c>
      <c r="I112" s="224">
        <f t="shared" si="162"/>
        <v>0.03</v>
      </c>
      <c r="J112" s="560">
        <f t="shared" si="163"/>
        <v>10</v>
      </c>
      <c r="K112" s="455">
        <f t="shared" si="164"/>
        <v>13.1</v>
      </c>
      <c r="L112" s="455">
        <f t="shared" si="165"/>
        <v>23.1</v>
      </c>
      <c r="M112" s="455"/>
      <c r="N112" s="224">
        <f t="shared" si="166"/>
        <v>0.5670995670995671</v>
      </c>
      <c r="O112" s="179">
        <f t="shared" si="167"/>
        <v>1.0944622279129324</v>
      </c>
      <c r="P112" s="179">
        <f t="shared" si="168"/>
        <v>2.6058624474117433</v>
      </c>
      <c r="Q112" s="224">
        <f t="shared" si="169"/>
        <v>0.17372416316078293</v>
      </c>
      <c r="R112" s="224">
        <f t="shared" si="170"/>
        <v>7.2964148527528819E-2</v>
      </c>
      <c r="S112" s="224">
        <f t="shared" si="171"/>
        <v>6.3</v>
      </c>
      <c r="T112" s="224">
        <f t="shared" si="172"/>
        <v>1.6693129770992365E-2</v>
      </c>
      <c r="U112" s="224">
        <f t="shared" si="173"/>
        <v>9.1812213740458018E-2</v>
      </c>
      <c r="V112" s="224">
        <f t="shared" si="174"/>
        <v>7.0085659343861073E-2</v>
      </c>
      <c r="W112" s="204">
        <f t="shared" si="175"/>
        <v>350</v>
      </c>
      <c r="X112" s="455">
        <f t="shared" si="176"/>
        <v>350</v>
      </c>
      <c r="Z112" s="224">
        <f t="shared" si="177"/>
        <v>0.29459717771406085</v>
      </c>
      <c r="AA112" s="180">
        <f t="shared" si="178"/>
        <v>1.2368583797155226</v>
      </c>
      <c r="AB112" s="180">
        <f t="shared" si="179"/>
        <v>3.7720509310379111E-2</v>
      </c>
      <c r="AC112" s="180"/>
      <c r="AD112" s="180">
        <f t="shared" si="180"/>
        <v>1.217557251908397</v>
      </c>
      <c r="AE112" s="564">
        <f t="shared" si="181"/>
        <v>19.150568020960407</v>
      </c>
      <c r="AF112" s="547">
        <f t="shared" si="182"/>
        <v>3.6552440597785188E-2</v>
      </c>
      <c r="AH112" s="180">
        <f t="shared" si="183"/>
        <v>6.6527994302955099E-2</v>
      </c>
      <c r="AI112" s="180">
        <f t="shared" si="184"/>
        <v>0.28999999999999998</v>
      </c>
      <c r="AJ112" s="180">
        <f t="shared" si="185"/>
        <v>1.0109431817262631</v>
      </c>
      <c r="AL112" s="564">
        <f t="shared" si="186"/>
        <v>2</v>
      </c>
      <c r="AM112" s="473">
        <f t="shared" si="187"/>
        <v>19.150568020960407</v>
      </c>
      <c r="AO112" s="473">
        <f t="shared" si="188"/>
        <v>2</v>
      </c>
      <c r="AP112" s="473">
        <f t="shared" si="189"/>
        <v>19.150568020960407</v>
      </c>
      <c r="AR112" s="5">
        <f t="shared" si="140"/>
        <v>52.217772282550278</v>
      </c>
      <c r="AS112" s="5">
        <f t="shared" si="190"/>
        <v>1.5949999999999998</v>
      </c>
      <c r="AT112" s="5">
        <f t="shared" si="191"/>
        <v>50.622772282550279</v>
      </c>
      <c r="AU112" s="180">
        <f t="shared" si="192"/>
        <v>3.0545155993431841E-2</v>
      </c>
      <c r="AW112" s="5">
        <f t="shared" si="193"/>
        <v>5.063492063492063E-2</v>
      </c>
      <c r="AX112" s="5">
        <f t="shared" si="194"/>
        <v>2.1266666666666663E-2</v>
      </c>
      <c r="AY112" s="5">
        <f t="shared" si="195"/>
        <v>5.9059900996308652E-2</v>
      </c>
      <c r="AZ112" s="5"/>
      <c r="BA112" s="180">
        <f t="shared" si="196"/>
        <v>2.9262305782055846E-2</v>
      </c>
      <c r="BB112" s="180">
        <f t="shared" si="197"/>
        <v>9.7519643441579623E-2</v>
      </c>
      <c r="BC112" s="180">
        <f t="shared" si="198"/>
        <v>9.9727348094043169E-2</v>
      </c>
      <c r="BD112" s="180"/>
      <c r="BE112" s="547">
        <f t="shared" si="199"/>
        <v>2.9969888888888865E-4</v>
      </c>
      <c r="BF112" s="547">
        <f t="shared" si="200"/>
        <v>1.2828965517241377E-3</v>
      </c>
      <c r="BG112" s="547">
        <f t="shared" si="201"/>
        <v>2.3938210026200508E-4</v>
      </c>
      <c r="BH112" s="547">
        <f t="shared" si="202"/>
        <v>5.8758873959571919E-4</v>
      </c>
      <c r="BI112">
        <f t="shared" si="203"/>
        <v>2.8999999999999998E-3</v>
      </c>
      <c r="BJ112" s="473">
        <f t="shared" si="204"/>
        <v>5.3095662804707509</v>
      </c>
      <c r="BK112" s="180">
        <f t="shared" si="205"/>
        <v>6.9999999999999999E-4</v>
      </c>
      <c r="BL112" s="180">
        <f t="shared" si="206"/>
        <v>6.9999999999999999E-4</v>
      </c>
      <c r="BM112" s="547"/>
      <c r="BO112" s="473">
        <f t="shared" si="207"/>
        <v>1.4</v>
      </c>
      <c r="BP112" s="547">
        <f t="shared" si="208"/>
        <v>9.4191079365079294E-5</v>
      </c>
      <c r="BQ112" s="547">
        <f t="shared" si="209"/>
        <v>3.3285282999404882E-4</v>
      </c>
      <c r="BR112" s="547">
        <f t="shared" si="210"/>
        <v>2.9836631873611367E-4</v>
      </c>
      <c r="BS112" s="547">
        <f t="shared" si="211"/>
        <v>3.6342864017640764E-6</v>
      </c>
      <c r="BT112" s="657">
        <f t="shared" si="212"/>
        <v>1.6105627705627703E-3</v>
      </c>
      <c r="BU112" s="473">
        <f t="shared" si="213"/>
        <v>2.3396072850597762</v>
      </c>
      <c r="BV112" s="180">
        <f t="shared" si="214"/>
        <v>9.0491735655305276E-3</v>
      </c>
      <c r="BW112" s="5">
        <f t="shared" si="215"/>
        <v>4.2599999999999999E-2</v>
      </c>
      <c r="BX112" s="180">
        <f t="shared" si="216"/>
        <v>0.82479538507911887</v>
      </c>
      <c r="BY112" s="5">
        <f t="shared" si="217"/>
        <v>82.479538507911883</v>
      </c>
      <c r="BZ112">
        <f t="shared" si="218"/>
        <v>2</v>
      </c>
      <c r="CB112" s="582">
        <f t="shared" si="219"/>
        <v>-50</v>
      </c>
      <c r="CC112">
        <f t="shared" si="220"/>
        <v>-50</v>
      </c>
    </row>
    <row r="113" spans="5:81" x14ac:dyDescent="0.25">
      <c r="E113" s="177">
        <v>3</v>
      </c>
      <c r="F113" s="224">
        <f t="shared" si="221"/>
        <v>3.0000000000000001E-3</v>
      </c>
      <c r="G113" s="224">
        <f t="shared" si="160"/>
        <v>3.0000000000000001E-3</v>
      </c>
      <c r="H113" s="224">
        <f t="shared" si="161"/>
        <v>1.89E-2</v>
      </c>
      <c r="I113" s="224">
        <f t="shared" si="162"/>
        <v>4.4999999999999998E-2</v>
      </c>
      <c r="J113" s="560">
        <f t="shared" si="163"/>
        <v>10</v>
      </c>
      <c r="K113" s="455">
        <f t="shared" si="164"/>
        <v>13.1</v>
      </c>
      <c r="L113" s="455">
        <f t="shared" si="165"/>
        <v>23.1</v>
      </c>
      <c r="M113" s="455"/>
      <c r="N113" s="224">
        <f t="shared" si="166"/>
        <v>0.5670995670995671</v>
      </c>
      <c r="O113" s="179">
        <f t="shared" si="167"/>
        <v>1.0944622279129324</v>
      </c>
      <c r="P113" s="179">
        <f t="shared" si="168"/>
        <v>2.6058624474117433</v>
      </c>
      <c r="Q113" s="224">
        <f t="shared" si="169"/>
        <v>0.17372416316078293</v>
      </c>
      <c r="R113" s="224">
        <f t="shared" si="170"/>
        <v>7.2964148527528819E-2</v>
      </c>
      <c r="S113" s="224">
        <f t="shared" si="171"/>
        <v>6.3</v>
      </c>
      <c r="T113" s="224">
        <f t="shared" si="172"/>
        <v>2.5039694656488549E-2</v>
      </c>
      <c r="U113" s="224">
        <f t="shared" si="173"/>
        <v>0.13771832061068703</v>
      </c>
      <c r="V113" s="224">
        <f t="shared" si="174"/>
        <v>0.10512848901579162</v>
      </c>
      <c r="W113" s="204">
        <f t="shared" si="175"/>
        <v>350</v>
      </c>
      <c r="X113" s="455">
        <f t="shared" si="176"/>
        <v>350</v>
      </c>
      <c r="Z113" s="224">
        <f t="shared" si="177"/>
        <v>0.29459717771406085</v>
      </c>
      <c r="AA113" s="180">
        <f t="shared" si="178"/>
        <v>1.2368583797155226</v>
      </c>
      <c r="AB113" s="180">
        <f t="shared" si="179"/>
        <v>3.7720509310379111E-2</v>
      </c>
      <c r="AC113" s="180"/>
      <c r="AD113" s="180">
        <f t="shared" si="180"/>
        <v>1.217557251908397</v>
      </c>
      <c r="AE113" s="564">
        <f t="shared" si="181"/>
        <v>28.725852031440606</v>
      </c>
      <c r="AF113" s="547">
        <f t="shared" si="182"/>
        <v>3.6552440597785188E-2</v>
      </c>
      <c r="AH113" s="180">
        <f t="shared" si="183"/>
        <v>8.1479819826513117E-2</v>
      </c>
      <c r="AI113" s="180">
        <f t="shared" si="184"/>
        <v>0.28999999999999998</v>
      </c>
      <c r="AJ113" s="180">
        <f t="shared" si="185"/>
        <v>1.0164147725893946</v>
      </c>
      <c r="AL113" s="564">
        <f t="shared" si="186"/>
        <v>3</v>
      </c>
      <c r="AM113" s="473">
        <f t="shared" si="187"/>
        <v>28.725852031440606</v>
      </c>
      <c r="AO113" s="473">
        <f t="shared" si="188"/>
        <v>3</v>
      </c>
      <c r="AP113" s="473">
        <f t="shared" si="189"/>
        <v>28.725852031440606</v>
      </c>
      <c r="AR113" s="5">
        <f t="shared" si="140"/>
        <v>34.811848188366859</v>
      </c>
      <c r="AS113" s="5">
        <f t="shared" si="190"/>
        <v>1.5949999999999998</v>
      </c>
      <c r="AT113" s="5">
        <f t="shared" si="191"/>
        <v>33.21684818836686</v>
      </c>
      <c r="AU113" s="180">
        <f t="shared" si="192"/>
        <v>4.5817733990147755E-2</v>
      </c>
      <c r="AW113" s="5">
        <f t="shared" si="193"/>
        <v>7.5952380952380938E-2</v>
      </c>
      <c r="AX113" s="5">
        <f t="shared" si="194"/>
        <v>3.1899999999999998E-2</v>
      </c>
      <c r="AY113" s="5">
        <f t="shared" si="195"/>
        <v>5.8129484329642003E-2</v>
      </c>
      <c r="AZ113" s="5"/>
      <c r="BA113" s="180">
        <f t="shared" si="196"/>
        <v>3.5838858931665343E-2</v>
      </c>
      <c r="BB113" s="180">
        <f t="shared" si="197"/>
        <v>9.6748442564534146E-2</v>
      </c>
      <c r="BC113" s="180">
        <f t="shared" si="198"/>
        <v>9.8938688336877231E-2</v>
      </c>
      <c r="BD113" s="180"/>
      <c r="BE113" s="547">
        <f t="shared" si="199"/>
        <v>4.4954833333333302E-4</v>
      </c>
      <c r="BF113" s="547">
        <f t="shared" si="200"/>
        <v>1.9243448275862061E-3</v>
      </c>
      <c r="BG113" s="547">
        <f t="shared" si="201"/>
        <v>3.5907315039300757E-4</v>
      </c>
      <c r="BH113" s="547">
        <f t="shared" si="202"/>
        <v>8.8138310939357874E-4</v>
      </c>
      <c r="BI113">
        <f t="shared" si="203"/>
        <v>2.8999999999999998E-3</v>
      </c>
      <c r="BJ113" s="473">
        <f t="shared" si="204"/>
        <v>6.5143494207061252</v>
      </c>
      <c r="BK113" s="180">
        <f t="shared" si="205"/>
        <v>1.0499999999999999E-3</v>
      </c>
      <c r="BL113" s="180">
        <f t="shared" si="206"/>
        <v>1.0499999999999999E-3</v>
      </c>
      <c r="BM113" s="547"/>
      <c r="BO113" s="473">
        <f t="shared" si="207"/>
        <v>2.1</v>
      </c>
      <c r="BP113" s="547">
        <f t="shared" si="208"/>
        <v>1.4128661904761895E-4</v>
      </c>
      <c r="BQ113" s="547">
        <f t="shared" si="209"/>
        <v>3.2760913985320375E-4</v>
      </c>
      <c r="BR113" s="547">
        <f t="shared" si="210"/>
        <v>2.9366592149465177E-4</v>
      </c>
      <c r="BS113" s="547">
        <f t="shared" si="211"/>
        <v>1.0014915671389667E-5</v>
      </c>
      <c r="BT113" s="657">
        <f t="shared" si="212"/>
        <v>2.4158441558441552E-3</v>
      </c>
      <c r="BU113" s="473">
        <f t="shared" si="213"/>
        <v>3.1884207519110195</v>
      </c>
      <c r="BV113" s="180">
        <f t="shared" si="214"/>
        <v>1.1802770172617145E-2</v>
      </c>
      <c r="BW113" s="5">
        <f t="shared" si="215"/>
        <v>6.3899999999999998E-2</v>
      </c>
      <c r="BX113" s="180">
        <f t="shared" si="216"/>
        <v>0.84409064363556952</v>
      </c>
      <c r="BY113" s="5">
        <f t="shared" si="217"/>
        <v>84.409064363556951</v>
      </c>
      <c r="BZ113">
        <f t="shared" si="218"/>
        <v>3</v>
      </c>
      <c r="CB113" s="582">
        <f t="shared" si="219"/>
        <v>-50</v>
      </c>
      <c r="CC113">
        <f t="shared" si="220"/>
        <v>-50</v>
      </c>
    </row>
    <row r="114" spans="5:81" x14ac:dyDescent="0.25">
      <c r="E114" s="177">
        <v>4</v>
      </c>
      <c r="F114" s="224">
        <f t="shared" si="221"/>
        <v>4.0000000000000001E-3</v>
      </c>
      <c r="G114" s="224">
        <f t="shared" si="160"/>
        <v>4.0000000000000001E-3</v>
      </c>
      <c r="H114" s="224">
        <f t="shared" si="161"/>
        <v>2.52E-2</v>
      </c>
      <c r="I114" s="224">
        <f t="shared" si="162"/>
        <v>0.06</v>
      </c>
      <c r="J114" s="560">
        <f t="shared" si="163"/>
        <v>10</v>
      </c>
      <c r="K114" s="455">
        <f t="shared" si="164"/>
        <v>13.1</v>
      </c>
      <c r="L114" s="455">
        <f t="shared" si="165"/>
        <v>23.1</v>
      </c>
      <c r="M114" s="455"/>
      <c r="N114" s="224">
        <f t="shared" si="166"/>
        <v>0.5670995670995671</v>
      </c>
      <c r="O114" s="179">
        <f t="shared" si="167"/>
        <v>1.0944622279129324</v>
      </c>
      <c r="P114" s="179">
        <f t="shared" si="168"/>
        <v>2.6058624474117433</v>
      </c>
      <c r="Q114" s="224">
        <f t="shared" si="169"/>
        <v>0.17372416316078293</v>
      </c>
      <c r="R114" s="224">
        <f t="shared" si="170"/>
        <v>7.2964148527528819E-2</v>
      </c>
      <c r="S114" s="224">
        <f t="shared" si="171"/>
        <v>6.3</v>
      </c>
      <c r="T114" s="224">
        <f t="shared" si="172"/>
        <v>3.3386259541984729E-2</v>
      </c>
      <c r="U114" s="224">
        <f t="shared" si="173"/>
        <v>0.18362442748091604</v>
      </c>
      <c r="V114" s="224">
        <f t="shared" si="174"/>
        <v>0.14017131868772215</v>
      </c>
      <c r="W114" s="204">
        <f t="shared" si="175"/>
        <v>350</v>
      </c>
      <c r="X114" s="455">
        <f t="shared" si="176"/>
        <v>350</v>
      </c>
      <c r="Z114" s="224">
        <f t="shared" si="177"/>
        <v>0.29459717771406085</v>
      </c>
      <c r="AA114" s="180">
        <f t="shared" si="178"/>
        <v>1.2368583797155226</v>
      </c>
      <c r="AB114" s="180">
        <f t="shared" si="179"/>
        <v>3.7720509310379111E-2</v>
      </c>
      <c r="AC114" s="180"/>
      <c r="AD114" s="180">
        <f t="shared" si="180"/>
        <v>1.217557251908397</v>
      </c>
      <c r="AE114" s="564">
        <f t="shared" si="181"/>
        <v>38.301136041920813</v>
      </c>
      <c r="AF114" s="547">
        <f t="shared" si="182"/>
        <v>3.6552440597785188E-2</v>
      </c>
      <c r="AH114" s="180">
        <f t="shared" si="183"/>
        <v>9.4084791820719105E-2</v>
      </c>
      <c r="AI114" s="180">
        <f t="shared" si="184"/>
        <v>0.28999999999999998</v>
      </c>
      <c r="AJ114" s="180">
        <f t="shared" si="185"/>
        <v>1.0218863634525261</v>
      </c>
      <c r="AL114" s="564">
        <f t="shared" si="186"/>
        <v>4</v>
      </c>
      <c r="AM114" s="473">
        <f t="shared" si="187"/>
        <v>38.301136041920813</v>
      </c>
      <c r="AO114" s="473">
        <f t="shared" si="188"/>
        <v>4</v>
      </c>
      <c r="AP114" s="473">
        <f t="shared" si="189"/>
        <v>38.301136041920813</v>
      </c>
      <c r="AR114" s="5">
        <f t="shared" si="140"/>
        <v>26.108886141275139</v>
      </c>
      <c r="AS114" s="5">
        <f t="shared" si="190"/>
        <v>1.5949999999999998</v>
      </c>
      <c r="AT114" s="5">
        <f t="shared" si="191"/>
        <v>24.51388614127514</v>
      </c>
      <c r="AU114" s="180">
        <f t="shared" si="192"/>
        <v>6.1090311986863682E-2</v>
      </c>
      <c r="AW114" s="5">
        <f t="shared" si="193"/>
        <v>0.10126984126984126</v>
      </c>
      <c r="AX114" s="5">
        <f t="shared" si="194"/>
        <v>4.2533333333333326E-2</v>
      </c>
      <c r="AY114" s="5">
        <f t="shared" si="195"/>
        <v>5.719906766297532E-2</v>
      </c>
      <c r="AZ114" s="5"/>
      <c r="BA114" s="180">
        <f t="shared" si="196"/>
        <v>4.1383149703292016E-2</v>
      </c>
      <c r="BB114" s="180">
        <f t="shared" si="197"/>
        <v>9.597104469762277E-2</v>
      </c>
      <c r="BC114" s="180">
        <f t="shared" si="198"/>
        <v>9.8143691298896038E-2</v>
      </c>
      <c r="BD114" s="180"/>
      <c r="BE114" s="547">
        <f t="shared" si="199"/>
        <v>5.9939777777777729E-4</v>
      </c>
      <c r="BF114" s="547">
        <f t="shared" si="200"/>
        <v>2.5657931034482754E-3</v>
      </c>
      <c r="BG114" s="547">
        <f t="shared" si="201"/>
        <v>4.7876420052401017E-4</v>
      </c>
      <c r="BH114" s="547">
        <f t="shared" si="202"/>
        <v>1.1751774791914384E-3</v>
      </c>
      <c r="BI114">
        <f t="shared" si="203"/>
        <v>2.8999999999999998E-3</v>
      </c>
      <c r="BJ114" s="473">
        <f t="shared" si="204"/>
        <v>7.7191325609415005</v>
      </c>
      <c r="BK114" s="180">
        <f t="shared" si="205"/>
        <v>1.4E-3</v>
      </c>
      <c r="BL114" s="180">
        <f t="shared" si="206"/>
        <v>1.4E-3</v>
      </c>
      <c r="BM114" s="547"/>
      <c r="BO114" s="473">
        <f t="shared" si="207"/>
        <v>2.8</v>
      </c>
      <c r="BP114" s="547">
        <f t="shared" si="208"/>
        <v>1.8838215873015859E-4</v>
      </c>
      <c r="BQ114" s="547">
        <f t="shared" si="209"/>
        <v>3.2236544971235879E-4</v>
      </c>
      <c r="BR114" s="547">
        <f t="shared" si="210"/>
        <v>2.8896552425319004E-4</v>
      </c>
      <c r="BS114" s="547">
        <f t="shared" si="211"/>
        <v>2.0558628475691457E-5</v>
      </c>
      <c r="BT114" s="657">
        <f t="shared" si="212"/>
        <v>3.2211255411255407E-3</v>
      </c>
      <c r="BU114" s="473">
        <f t="shared" si="213"/>
        <v>4.0413973022969394</v>
      </c>
      <c r="BV114" s="180">
        <f t="shared" si="214"/>
        <v>1.456052986323844E-2</v>
      </c>
      <c r="BW114" s="5">
        <f t="shared" si="215"/>
        <v>8.5199999999999998E-2</v>
      </c>
      <c r="BX114" s="180">
        <f t="shared" si="216"/>
        <v>0.85404518316813827</v>
      </c>
      <c r="BY114" s="5">
        <f t="shared" si="217"/>
        <v>85.404518316813821</v>
      </c>
      <c r="BZ114">
        <f t="shared" si="218"/>
        <v>4</v>
      </c>
      <c r="CB114" s="582">
        <f t="shared" si="219"/>
        <v>-50</v>
      </c>
      <c r="CC114">
        <f t="shared" si="220"/>
        <v>-50</v>
      </c>
    </row>
    <row r="115" spans="5:81" x14ac:dyDescent="0.25">
      <c r="E115" s="177">
        <v>5</v>
      </c>
      <c r="F115" s="224">
        <f t="shared" si="221"/>
        <v>5.000000000000001E-3</v>
      </c>
      <c r="G115" s="224">
        <f t="shared" si="160"/>
        <v>5.000000000000001E-3</v>
      </c>
      <c r="H115" s="224">
        <f t="shared" si="161"/>
        <v>3.1500000000000007E-2</v>
      </c>
      <c r="I115" s="224">
        <f t="shared" si="162"/>
        <v>7.5000000000000011E-2</v>
      </c>
      <c r="J115" s="560">
        <f t="shared" si="163"/>
        <v>10</v>
      </c>
      <c r="K115" s="455">
        <f t="shared" si="164"/>
        <v>13.1</v>
      </c>
      <c r="L115" s="455">
        <f t="shared" si="165"/>
        <v>23.1</v>
      </c>
      <c r="M115" s="455"/>
      <c r="N115" s="224">
        <f t="shared" si="166"/>
        <v>0.5670995670995671</v>
      </c>
      <c r="O115" s="179">
        <f t="shared" si="167"/>
        <v>1.0944622279129324</v>
      </c>
      <c r="P115" s="179">
        <f t="shared" si="168"/>
        <v>2.6058624474117433</v>
      </c>
      <c r="Q115" s="224">
        <f t="shared" si="169"/>
        <v>0.17372416316078293</v>
      </c>
      <c r="R115" s="224">
        <f t="shared" si="170"/>
        <v>7.2964148527528819E-2</v>
      </c>
      <c r="S115" s="224">
        <f t="shared" si="171"/>
        <v>6.3</v>
      </c>
      <c r="T115" s="224">
        <f t="shared" si="172"/>
        <v>4.173282442748092E-2</v>
      </c>
      <c r="U115" s="224">
        <f t="shared" si="173"/>
        <v>0.22953053435114507</v>
      </c>
      <c r="V115" s="224">
        <f t="shared" si="174"/>
        <v>0.17521414835965274</v>
      </c>
      <c r="W115" s="204">
        <f t="shared" si="175"/>
        <v>350</v>
      </c>
      <c r="X115" s="455">
        <f t="shared" si="176"/>
        <v>350</v>
      </c>
      <c r="Z115" s="224">
        <f t="shared" si="177"/>
        <v>0.29459717771406085</v>
      </c>
      <c r="AA115" s="180">
        <f t="shared" si="178"/>
        <v>1.2368583797155226</v>
      </c>
      <c r="AB115" s="180">
        <f t="shared" si="179"/>
        <v>3.7720509310379111E-2</v>
      </c>
      <c r="AC115" s="180"/>
      <c r="AD115" s="180">
        <f t="shared" si="180"/>
        <v>1.217557251908397</v>
      </c>
      <c r="AE115" s="564">
        <f t="shared" si="181"/>
        <v>47.876420052401031</v>
      </c>
      <c r="AF115" s="547">
        <f t="shared" si="182"/>
        <v>3.6552440597785188E-2</v>
      </c>
      <c r="AH115" s="180">
        <f t="shared" si="183"/>
        <v>0.10518999508002207</v>
      </c>
      <c r="AI115" s="180">
        <f t="shared" si="184"/>
        <v>0.28999999999999998</v>
      </c>
      <c r="AJ115" s="180">
        <f t="shared" si="185"/>
        <v>1.0273579543156577</v>
      </c>
      <c r="AL115" s="564">
        <f t="shared" si="186"/>
        <v>5.0000000000000009</v>
      </c>
      <c r="AM115" s="473">
        <f t="shared" si="187"/>
        <v>47.876420052401031</v>
      </c>
      <c r="AO115" s="473">
        <f t="shared" si="188"/>
        <v>5.0000000000000009</v>
      </c>
      <c r="AP115" s="473">
        <f t="shared" si="189"/>
        <v>47.876420052401031</v>
      </c>
      <c r="AR115" s="5">
        <f t="shared" si="140"/>
        <v>20.887108913020107</v>
      </c>
      <c r="AS115" s="5">
        <f t="shared" ref="AS115:AS178" si="222">L*AI115/J115*1000000</f>
        <v>1.5949999999999998</v>
      </c>
      <c r="AT115" s="5">
        <f t="shared" ref="AT115:AT178" si="223">AR115-AS115</f>
        <v>19.292108913020108</v>
      </c>
      <c r="AU115" s="180">
        <f t="shared" ref="AU115:AU178" si="224">AS115/AR115</f>
        <v>7.6362889983579624E-2</v>
      </c>
      <c r="AW115" s="5">
        <f t="shared" si="193"/>
        <v>0.12658730158730158</v>
      </c>
      <c r="AX115" s="5">
        <f t="shared" si="194"/>
        <v>5.3166666666666661E-2</v>
      </c>
      <c r="AY115" s="5">
        <f t="shared" si="195"/>
        <v>5.6268650996308657E-2</v>
      </c>
      <c r="AZ115" s="5"/>
      <c r="BA115" s="180">
        <f t="shared" si="196"/>
        <v>4.6267767929805609E-2</v>
      </c>
      <c r="BB115" s="180">
        <f t="shared" si="197"/>
        <v>9.5187298007892024E-2</v>
      </c>
      <c r="BC115" s="180">
        <f t="shared" si="198"/>
        <v>9.7342201709866155E-2</v>
      </c>
      <c r="BD115" s="180"/>
      <c r="BE115" s="547">
        <f t="shared" si="199"/>
        <v>7.4924722222222183E-4</v>
      </c>
      <c r="BF115" s="547">
        <f t="shared" si="200"/>
        <v>3.2072413793103449E-3</v>
      </c>
      <c r="BG115" s="547">
        <f t="shared" si="201"/>
        <v>5.9845525065501282E-4</v>
      </c>
      <c r="BH115" s="547">
        <f t="shared" si="202"/>
        <v>1.4689718489892985E-3</v>
      </c>
      <c r="BI115">
        <f t="shared" si="203"/>
        <v>2.8999999999999998E-3</v>
      </c>
      <c r="BJ115" s="473">
        <f t="shared" si="204"/>
        <v>8.9239157011768775</v>
      </c>
      <c r="BK115" s="180">
        <f t="shared" si="205"/>
        <v>1.7500000000000003E-3</v>
      </c>
      <c r="BL115" s="180">
        <f t="shared" si="206"/>
        <v>1.7500000000000003E-3</v>
      </c>
      <c r="BM115" s="547"/>
      <c r="BO115" s="473">
        <f t="shared" si="207"/>
        <v>3.5000000000000004</v>
      </c>
      <c r="BP115" s="547">
        <f t="shared" si="208"/>
        <v>2.3547769841269833E-4</v>
      </c>
      <c r="BQ115" s="547">
        <f t="shared" si="209"/>
        <v>3.1712175957151356E-4</v>
      </c>
      <c r="BR115" s="547">
        <f t="shared" si="210"/>
        <v>2.8426512701172808E-4</v>
      </c>
      <c r="BS115" s="547">
        <f t="shared" si="211"/>
        <v>3.5914445934225807E-5</v>
      </c>
      <c r="BT115" s="657">
        <f t="shared" si="212"/>
        <v>4.0264069264069266E-3</v>
      </c>
      <c r="BU115" s="473">
        <f t="shared" si="213"/>
        <v>4.8991859573370924</v>
      </c>
      <c r="BV115" s="180">
        <f t="shared" si="214"/>
        <v>1.732310165851397E-2</v>
      </c>
      <c r="BW115" s="5">
        <f t="shared" si="215"/>
        <v>0.10650000000000001</v>
      </c>
      <c r="BX115" s="180">
        <f t="shared" si="216"/>
        <v>0.86009798311878383</v>
      </c>
      <c r="BY115" s="5">
        <f t="shared" si="217"/>
        <v>86.009798311878384</v>
      </c>
      <c r="BZ115">
        <f t="shared" si="218"/>
        <v>5.0000000000000009</v>
      </c>
      <c r="CB115" s="582">
        <f t="shared" si="219"/>
        <v>-50</v>
      </c>
      <c r="CC115">
        <f t="shared" si="220"/>
        <v>-50</v>
      </c>
    </row>
    <row r="116" spans="5:81" x14ac:dyDescent="0.25">
      <c r="E116" s="177">
        <v>6</v>
      </c>
      <c r="F116" s="224">
        <f t="shared" si="221"/>
        <v>6.0000000000000001E-3</v>
      </c>
      <c r="G116" s="224">
        <f t="shared" si="160"/>
        <v>6.0000000000000001E-3</v>
      </c>
      <c r="H116" s="224">
        <f t="shared" si="161"/>
        <v>3.78E-2</v>
      </c>
      <c r="I116" s="224">
        <f t="shared" si="162"/>
        <v>0.09</v>
      </c>
      <c r="J116" s="560">
        <f t="shared" si="163"/>
        <v>10</v>
      </c>
      <c r="K116" s="455">
        <f t="shared" si="164"/>
        <v>13.1</v>
      </c>
      <c r="L116" s="455">
        <f t="shared" si="165"/>
        <v>23.1</v>
      </c>
      <c r="M116" s="455"/>
      <c r="N116" s="224">
        <f t="shared" si="166"/>
        <v>0.5670995670995671</v>
      </c>
      <c r="O116" s="179">
        <f t="shared" si="167"/>
        <v>1.0944622279129324</v>
      </c>
      <c r="P116" s="179">
        <f t="shared" si="168"/>
        <v>2.6058624474117433</v>
      </c>
      <c r="Q116" s="224">
        <f t="shared" si="169"/>
        <v>0.17372416316078293</v>
      </c>
      <c r="R116" s="224">
        <f t="shared" si="170"/>
        <v>7.2964148527528819E-2</v>
      </c>
      <c r="S116" s="224">
        <f t="shared" si="171"/>
        <v>6.3</v>
      </c>
      <c r="T116" s="224">
        <f t="shared" si="172"/>
        <v>5.0079389312977098E-2</v>
      </c>
      <c r="U116" s="224">
        <f t="shared" si="173"/>
        <v>0.27543664122137407</v>
      </c>
      <c r="V116" s="224">
        <f t="shared" si="174"/>
        <v>0.21025697803158325</v>
      </c>
      <c r="W116" s="204">
        <f t="shared" si="175"/>
        <v>350</v>
      </c>
      <c r="X116" s="455">
        <f t="shared" si="176"/>
        <v>350</v>
      </c>
      <c r="Z116" s="224">
        <f t="shared" si="177"/>
        <v>0.29459717771406085</v>
      </c>
      <c r="AA116" s="180">
        <f t="shared" si="178"/>
        <v>1.2368583797155226</v>
      </c>
      <c r="AB116" s="180">
        <f t="shared" si="179"/>
        <v>3.7720509310379111E-2</v>
      </c>
      <c r="AC116" s="180"/>
      <c r="AD116" s="180">
        <f t="shared" si="180"/>
        <v>1.217557251908397</v>
      </c>
      <c r="AE116" s="564">
        <f t="shared" si="181"/>
        <v>57.451704062881213</v>
      </c>
      <c r="AF116" s="547">
        <f t="shared" si="182"/>
        <v>3.6552440597785188E-2</v>
      </c>
      <c r="AH116" s="180">
        <f t="shared" si="183"/>
        <v>0.11522986625837105</v>
      </c>
      <c r="AI116" s="180">
        <f t="shared" si="184"/>
        <v>0.28999999999999998</v>
      </c>
      <c r="AJ116" s="180">
        <f t="shared" si="185"/>
        <v>1.0328295451787892</v>
      </c>
      <c r="AL116" s="564">
        <f t="shared" si="186"/>
        <v>6</v>
      </c>
      <c r="AM116" s="473">
        <f t="shared" si="187"/>
        <v>57.451704062881213</v>
      </c>
      <c r="AO116" s="473">
        <f t="shared" si="188"/>
        <v>6</v>
      </c>
      <c r="AP116" s="473">
        <f t="shared" si="189"/>
        <v>57.451704062881213</v>
      </c>
      <c r="AR116" s="5">
        <f t="shared" si="140"/>
        <v>17.40592409418343</v>
      </c>
      <c r="AS116" s="5">
        <f t="shared" si="222"/>
        <v>1.5949999999999998</v>
      </c>
      <c r="AT116" s="5">
        <f t="shared" si="223"/>
        <v>15.810924094183431</v>
      </c>
      <c r="AU116" s="180">
        <f t="shared" si="224"/>
        <v>9.163546798029551E-2</v>
      </c>
      <c r="AW116" s="5">
        <f t="shared" si="193"/>
        <v>0.15190476190476188</v>
      </c>
      <c r="AX116" s="5">
        <f t="shared" si="194"/>
        <v>6.3799999999999996E-2</v>
      </c>
      <c r="AY116" s="5">
        <f t="shared" si="195"/>
        <v>5.5338234329642008E-2</v>
      </c>
      <c r="AZ116" s="5"/>
      <c r="BA116" s="180">
        <f t="shared" si="196"/>
        <v>5.068380036113726E-2</v>
      </c>
      <c r="BB116" s="180">
        <f t="shared" si="197"/>
        <v>9.4397044359097307E-2</v>
      </c>
      <c r="BC116" s="180">
        <f t="shared" si="198"/>
        <v>9.6534057853565572E-2</v>
      </c>
      <c r="BD116" s="180"/>
      <c r="BE116" s="547">
        <f t="shared" si="199"/>
        <v>8.9909666666666604E-4</v>
      </c>
      <c r="BF116" s="547">
        <f t="shared" si="200"/>
        <v>3.8486896551724122E-3</v>
      </c>
      <c r="BG116" s="547">
        <f t="shared" si="201"/>
        <v>7.1814630078601515E-4</v>
      </c>
      <c r="BH116" s="547">
        <f t="shared" si="202"/>
        <v>1.7627662187871575E-3</v>
      </c>
      <c r="BI116">
        <f t="shared" si="203"/>
        <v>2.8999999999999998E-3</v>
      </c>
      <c r="BJ116" s="473">
        <f t="shared" si="204"/>
        <v>10.12869884141225</v>
      </c>
      <c r="BK116" s="180">
        <f t="shared" si="205"/>
        <v>2.0999999999999999E-3</v>
      </c>
      <c r="BL116" s="180">
        <f t="shared" si="206"/>
        <v>2.0999999999999999E-3</v>
      </c>
      <c r="BM116" s="547"/>
      <c r="BO116" s="473">
        <f t="shared" si="207"/>
        <v>4.2</v>
      </c>
      <c r="BP116" s="547">
        <f t="shared" si="208"/>
        <v>2.8257323809523791E-4</v>
      </c>
      <c r="BQ116" s="547">
        <f t="shared" si="209"/>
        <v>3.1187806943066849E-4</v>
      </c>
      <c r="BR116" s="547">
        <f t="shared" si="210"/>
        <v>2.7956472977026635E-4</v>
      </c>
      <c r="BS116" s="547">
        <f t="shared" si="211"/>
        <v>5.6652918274008447E-5</v>
      </c>
      <c r="BT116" s="657">
        <f t="shared" si="212"/>
        <v>4.8316883116883104E-3</v>
      </c>
      <c r="BU116" s="473">
        <f t="shared" si="213"/>
        <v>5.7623572672584915</v>
      </c>
      <c r="BV116" s="180">
        <f t="shared" si="214"/>
        <v>2.0091056108670742E-2</v>
      </c>
      <c r="BW116" s="5">
        <f t="shared" si="215"/>
        <v>0.1278</v>
      </c>
      <c r="BX116" s="180">
        <f t="shared" si="216"/>
        <v>0.86414962042121213</v>
      </c>
      <c r="BY116" s="5">
        <f t="shared" si="217"/>
        <v>86.414962042121218</v>
      </c>
      <c r="BZ116">
        <f t="shared" si="218"/>
        <v>6</v>
      </c>
      <c r="CB116" s="582">
        <f t="shared" si="219"/>
        <v>-50</v>
      </c>
      <c r="CC116">
        <f t="shared" si="220"/>
        <v>-50</v>
      </c>
    </row>
    <row r="117" spans="5:81" x14ac:dyDescent="0.25">
      <c r="E117" s="177">
        <v>7</v>
      </c>
      <c r="F117" s="224">
        <f t="shared" si="221"/>
        <v>7.000000000000001E-3</v>
      </c>
      <c r="G117" s="224">
        <f t="shared" si="160"/>
        <v>7.000000000000001E-3</v>
      </c>
      <c r="H117" s="224">
        <f t="shared" si="161"/>
        <v>4.4100000000000007E-2</v>
      </c>
      <c r="I117" s="224">
        <f t="shared" si="162"/>
        <v>0.10500000000000001</v>
      </c>
      <c r="J117" s="560">
        <f t="shared" si="163"/>
        <v>10</v>
      </c>
      <c r="K117" s="455">
        <f t="shared" si="164"/>
        <v>13.1</v>
      </c>
      <c r="L117" s="455">
        <f t="shared" si="165"/>
        <v>23.1</v>
      </c>
      <c r="M117" s="455"/>
      <c r="N117" s="224">
        <f t="shared" si="166"/>
        <v>0.5670995670995671</v>
      </c>
      <c r="O117" s="179">
        <f t="shared" si="167"/>
        <v>1.0944622279129324</v>
      </c>
      <c r="P117" s="179">
        <f t="shared" si="168"/>
        <v>2.6058624474117433</v>
      </c>
      <c r="Q117" s="224">
        <f t="shared" si="169"/>
        <v>0.17372416316078293</v>
      </c>
      <c r="R117" s="224">
        <f t="shared" si="170"/>
        <v>7.2964148527528819E-2</v>
      </c>
      <c r="S117" s="224">
        <f t="shared" si="171"/>
        <v>6.3</v>
      </c>
      <c r="T117" s="224">
        <f t="shared" si="172"/>
        <v>5.8425954198473289E-2</v>
      </c>
      <c r="U117" s="224">
        <f t="shared" si="173"/>
        <v>0.32134274809160313</v>
      </c>
      <c r="V117" s="224">
        <f t="shared" si="174"/>
        <v>0.24529980770351384</v>
      </c>
      <c r="W117" s="204">
        <f t="shared" si="175"/>
        <v>350</v>
      </c>
      <c r="X117" s="455">
        <f t="shared" si="176"/>
        <v>350</v>
      </c>
      <c r="Z117" s="224">
        <f t="shared" si="177"/>
        <v>0.29459717771406085</v>
      </c>
      <c r="AA117" s="180">
        <f t="shared" si="178"/>
        <v>1.2368583797155226</v>
      </c>
      <c r="AB117" s="180">
        <f t="shared" si="179"/>
        <v>3.7720509310379111E-2</v>
      </c>
      <c r="AC117" s="180"/>
      <c r="AD117" s="180">
        <f t="shared" si="180"/>
        <v>1.217557251908397</v>
      </c>
      <c r="AE117" s="564">
        <f t="shared" si="181"/>
        <v>67.026988073361437</v>
      </c>
      <c r="AF117" s="547">
        <f t="shared" si="182"/>
        <v>3.6552440597785188E-2</v>
      </c>
      <c r="AH117" s="180">
        <f t="shared" si="183"/>
        <v>0.12446248065545332</v>
      </c>
      <c r="AI117" s="180">
        <f t="shared" si="184"/>
        <v>0.28999999999999998</v>
      </c>
      <c r="AJ117" s="180">
        <f t="shared" si="185"/>
        <v>1.0383011360419208</v>
      </c>
      <c r="AL117" s="564">
        <f t="shared" si="186"/>
        <v>7.0000000000000009</v>
      </c>
      <c r="AM117" s="473">
        <f t="shared" si="187"/>
        <v>67.026988073361437</v>
      </c>
      <c r="AO117" s="473">
        <f t="shared" si="188"/>
        <v>7.0000000000000009</v>
      </c>
      <c r="AP117" s="473">
        <f t="shared" si="189"/>
        <v>67.026988073361437</v>
      </c>
      <c r="AR117" s="5">
        <f t="shared" si="140"/>
        <v>14.919363509300076</v>
      </c>
      <c r="AS117" s="5">
        <f t="shared" si="222"/>
        <v>1.5949999999999998</v>
      </c>
      <c r="AT117" s="5">
        <f t="shared" si="223"/>
        <v>13.324363509300078</v>
      </c>
      <c r="AU117" s="180">
        <f t="shared" si="224"/>
        <v>0.10690804597701146</v>
      </c>
      <c r="AW117" s="5">
        <f t="shared" si="193"/>
        <v>0.17722222222222223</v>
      </c>
      <c r="AX117" s="5">
        <f t="shared" si="194"/>
        <v>7.4433333333333337E-2</v>
      </c>
      <c r="AY117" s="5">
        <f t="shared" si="195"/>
        <v>5.4407817662975318E-2</v>
      </c>
      <c r="AZ117" s="5"/>
      <c r="BA117" s="180">
        <f t="shared" si="196"/>
        <v>5.474476129173355E-2</v>
      </c>
      <c r="BB117" s="180">
        <f t="shared" si="197"/>
        <v>9.3600118939152682E-2</v>
      </c>
      <c r="BC117" s="180">
        <f t="shared" si="198"/>
        <v>9.5719091186799374E-2</v>
      </c>
      <c r="BD117" s="180"/>
      <c r="BE117" s="547">
        <f t="shared" si="199"/>
        <v>1.0489461111111108E-3</v>
      </c>
      <c r="BF117" s="547">
        <f t="shared" si="200"/>
        <v>4.490137931034483E-3</v>
      </c>
      <c r="BG117" s="547">
        <f t="shared" si="201"/>
        <v>8.378373509170179E-4</v>
      </c>
      <c r="BH117" s="547">
        <f t="shared" si="202"/>
        <v>2.0565605885850178E-3</v>
      </c>
      <c r="BI117">
        <f t="shared" si="203"/>
        <v>2.8999999999999998E-3</v>
      </c>
      <c r="BJ117" s="473">
        <f t="shared" si="204"/>
        <v>11.33348198164763</v>
      </c>
      <c r="BK117" s="180">
        <f t="shared" si="205"/>
        <v>2.4500000000000004E-3</v>
      </c>
      <c r="BL117" s="180">
        <f t="shared" si="206"/>
        <v>2.4500000000000004E-3</v>
      </c>
      <c r="BM117" s="547"/>
      <c r="BO117" s="473">
        <f t="shared" si="207"/>
        <v>4.9000000000000004</v>
      </c>
      <c r="BP117" s="547">
        <f t="shared" si="208"/>
        <v>3.296687777777777E-4</v>
      </c>
      <c r="BQ117" s="547">
        <f t="shared" si="209"/>
        <v>3.0663437928982353E-4</v>
      </c>
      <c r="BR117" s="547">
        <f t="shared" si="210"/>
        <v>2.7486433252880439E-4</v>
      </c>
      <c r="BS117" s="547">
        <f t="shared" si="211"/>
        <v>8.3289309184977542E-5</v>
      </c>
      <c r="BT117" s="657">
        <f t="shared" si="212"/>
        <v>5.6369696969696976E-3</v>
      </c>
      <c r="BU117" s="473">
        <f t="shared" si="213"/>
        <v>6.6314264957510813</v>
      </c>
      <c r="BV117" s="180">
        <f t="shared" si="214"/>
        <v>2.2864908477398707E-2</v>
      </c>
      <c r="BW117" s="5">
        <f t="shared" si="215"/>
        <v>0.14910000000000001</v>
      </c>
      <c r="BX117" s="180">
        <f t="shared" si="216"/>
        <v>0.86703735849454533</v>
      </c>
      <c r="BY117" s="5">
        <f t="shared" si="217"/>
        <v>86.703735849454532</v>
      </c>
      <c r="BZ117">
        <f t="shared" si="218"/>
        <v>7.0000000000000009</v>
      </c>
      <c r="CB117" s="582">
        <f t="shared" si="219"/>
        <v>-50</v>
      </c>
      <c r="CC117">
        <f t="shared" si="220"/>
        <v>-50</v>
      </c>
    </row>
    <row r="118" spans="5:81" x14ac:dyDescent="0.25">
      <c r="E118" s="177">
        <v>8</v>
      </c>
      <c r="F118" s="224">
        <f t="shared" si="221"/>
        <v>8.0000000000000002E-3</v>
      </c>
      <c r="G118" s="224">
        <f t="shared" si="160"/>
        <v>8.0000000000000002E-3</v>
      </c>
      <c r="H118" s="224">
        <f t="shared" si="161"/>
        <v>5.04E-2</v>
      </c>
      <c r="I118" s="224">
        <f t="shared" si="162"/>
        <v>0.12</v>
      </c>
      <c r="J118" s="560">
        <f t="shared" si="163"/>
        <v>10</v>
      </c>
      <c r="K118" s="455">
        <f t="shared" si="164"/>
        <v>13.1</v>
      </c>
      <c r="L118" s="455">
        <f t="shared" si="165"/>
        <v>23.1</v>
      </c>
      <c r="M118" s="455"/>
      <c r="N118" s="224">
        <f t="shared" si="166"/>
        <v>0.5670995670995671</v>
      </c>
      <c r="O118" s="179">
        <f t="shared" si="167"/>
        <v>1.0944622279129324</v>
      </c>
      <c r="P118" s="179">
        <f t="shared" si="168"/>
        <v>2.6058624474117433</v>
      </c>
      <c r="Q118" s="224">
        <f t="shared" si="169"/>
        <v>0.17372416316078293</v>
      </c>
      <c r="R118" s="224">
        <f t="shared" si="170"/>
        <v>7.2964148527528819E-2</v>
      </c>
      <c r="S118" s="224">
        <f t="shared" si="171"/>
        <v>6.3</v>
      </c>
      <c r="T118" s="224">
        <f t="shared" si="172"/>
        <v>6.6772519083969459E-2</v>
      </c>
      <c r="U118" s="224">
        <f t="shared" si="173"/>
        <v>0.36724885496183207</v>
      </c>
      <c r="V118" s="224">
        <f t="shared" si="174"/>
        <v>0.28034263737544429</v>
      </c>
      <c r="W118" s="204">
        <f t="shared" si="175"/>
        <v>350</v>
      </c>
      <c r="X118" s="455">
        <f t="shared" si="176"/>
        <v>350</v>
      </c>
      <c r="Z118" s="224">
        <f t="shared" si="177"/>
        <v>0.29459717771406085</v>
      </c>
      <c r="AA118" s="180">
        <f t="shared" si="178"/>
        <v>1.2368583797155226</v>
      </c>
      <c r="AB118" s="180">
        <f t="shared" si="179"/>
        <v>3.7720509310379111E-2</v>
      </c>
      <c r="AC118" s="180"/>
      <c r="AD118" s="180">
        <f t="shared" si="180"/>
        <v>1.217557251908397</v>
      </c>
      <c r="AE118" s="564">
        <f t="shared" si="181"/>
        <v>76.602272083841626</v>
      </c>
      <c r="AF118" s="547">
        <f t="shared" si="182"/>
        <v>3.6552440597785188E-2</v>
      </c>
      <c r="AH118" s="180">
        <f t="shared" si="183"/>
        <v>0.1330559886059102</v>
      </c>
      <c r="AI118" s="180">
        <f t="shared" si="184"/>
        <v>0.28999999999999998</v>
      </c>
      <c r="AJ118" s="180">
        <f t="shared" si="185"/>
        <v>1.0437727269050523</v>
      </c>
      <c r="AL118" s="564">
        <f t="shared" si="186"/>
        <v>8</v>
      </c>
      <c r="AM118" s="473">
        <f t="shared" si="187"/>
        <v>76.602272083841626</v>
      </c>
      <c r="AO118" s="473">
        <f t="shared" si="188"/>
        <v>8</v>
      </c>
      <c r="AP118" s="473">
        <f t="shared" si="189"/>
        <v>76.602272083841626</v>
      </c>
      <c r="AR118" s="5">
        <f t="shared" si="140"/>
        <v>13.05444307063757</v>
      </c>
      <c r="AS118" s="5">
        <f t="shared" si="222"/>
        <v>1.5949999999999998</v>
      </c>
      <c r="AT118" s="5">
        <f t="shared" si="223"/>
        <v>11.459443070637569</v>
      </c>
      <c r="AU118" s="180">
        <f t="shared" si="224"/>
        <v>0.12218062397372736</v>
      </c>
      <c r="AW118" s="5">
        <f t="shared" si="193"/>
        <v>0.20253968253968252</v>
      </c>
      <c r="AX118" s="5">
        <f t="shared" si="194"/>
        <v>8.5066666666666652E-2</v>
      </c>
      <c r="AY118" s="5">
        <f t="shared" si="195"/>
        <v>5.3477400996308641E-2</v>
      </c>
      <c r="AZ118" s="5"/>
      <c r="BA118" s="180">
        <f t="shared" si="196"/>
        <v>5.8524611564111692E-2</v>
      </c>
      <c r="BB118" s="180">
        <f t="shared" si="197"/>
        <v>9.2796349858783059E-2</v>
      </c>
      <c r="BC118" s="180">
        <f t="shared" si="198"/>
        <v>9.4897125928966278E-2</v>
      </c>
      <c r="BD118" s="180"/>
      <c r="BE118" s="547">
        <f t="shared" si="199"/>
        <v>1.1987955555555546E-3</v>
      </c>
      <c r="BF118" s="547">
        <f t="shared" si="200"/>
        <v>5.1315862068965507E-3</v>
      </c>
      <c r="BG118" s="547">
        <f t="shared" si="201"/>
        <v>9.5752840104802034E-4</v>
      </c>
      <c r="BH118" s="547">
        <f t="shared" si="202"/>
        <v>2.3503549583828768E-3</v>
      </c>
      <c r="BI118">
        <f t="shared" si="203"/>
        <v>2.8999999999999998E-3</v>
      </c>
      <c r="BJ118" s="473">
        <f t="shared" si="204"/>
        <v>12.538265121883002</v>
      </c>
      <c r="BK118" s="180">
        <f t="shared" si="205"/>
        <v>2.8E-3</v>
      </c>
      <c r="BL118" s="180">
        <f t="shared" si="206"/>
        <v>2.8E-3</v>
      </c>
      <c r="BM118" s="547"/>
      <c r="BO118" s="473">
        <f t="shared" si="207"/>
        <v>5.6</v>
      </c>
      <c r="BP118" s="547">
        <f t="shared" si="208"/>
        <v>3.7676431746031718E-4</v>
      </c>
      <c r="BQ118" s="547">
        <f t="shared" si="209"/>
        <v>3.013906891489784E-4</v>
      </c>
      <c r="BR118" s="547">
        <f t="shared" si="210"/>
        <v>2.701639352873425E-4</v>
      </c>
      <c r="BS118" s="547">
        <f t="shared" si="211"/>
        <v>1.1629716485645039E-4</v>
      </c>
      <c r="BT118" s="657">
        <f t="shared" si="212"/>
        <v>6.4422510822510813E-3</v>
      </c>
      <c r="BU118" s="473">
        <f t="shared" si="213"/>
        <v>7.5068671890041694</v>
      </c>
      <c r="BV118" s="180">
        <f t="shared" si="214"/>
        <v>2.5645132310887168E-2</v>
      </c>
      <c r="BW118" s="5">
        <f t="shared" si="215"/>
        <v>0.1704</v>
      </c>
      <c r="BX118" s="180">
        <f t="shared" si="216"/>
        <v>0.86918760997228295</v>
      </c>
      <c r="BY118" s="5">
        <f t="shared" si="217"/>
        <v>86.91876099722829</v>
      </c>
      <c r="BZ118">
        <f t="shared" si="218"/>
        <v>8</v>
      </c>
      <c r="CB118" s="582">
        <f t="shared" si="219"/>
        <v>-50</v>
      </c>
      <c r="CC118">
        <f t="shared" si="220"/>
        <v>-50</v>
      </c>
    </row>
    <row r="119" spans="5:81" x14ac:dyDescent="0.25">
      <c r="E119" s="177">
        <v>9</v>
      </c>
      <c r="F119" s="224">
        <f t="shared" si="221"/>
        <v>8.9999999999999993E-3</v>
      </c>
      <c r="G119" s="224">
        <f t="shared" si="160"/>
        <v>8.9999999999999993E-3</v>
      </c>
      <c r="H119" s="224">
        <f t="shared" si="161"/>
        <v>5.6699999999999993E-2</v>
      </c>
      <c r="I119" s="224">
        <f t="shared" si="162"/>
        <v>0.13499999999999998</v>
      </c>
      <c r="J119" s="560">
        <f t="shared" si="163"/>
        <v>10</v>
      </c>
      <c r="K119" s="455">
        <f t="shared" si="164"/>
        <v>13.1</v>
      </c>
      <c r="L119" s="455">
        <f t="shared" si="165"/>
        <v>23.1</v>
      </c>
      <c r="M119" s="455"/>
      <c r="N119" s="224">
        <f t="shared" si="166"/>
        <v>0.5670995670995671</v>
      </c>
      <c r="O119" s="179">
        <f t="shared" si="167"/>
        <v>1.0944622279129324</v>
      </c>
      <c r="P119" s="179">
        <f t="shared" si="168"/>
        <v>2.6058624474117433</v>
      </c>
      <c r="Q119" s="224">
        <f t="shared" si="169"/>
        <v>0.17372416316078293</v>
      </c>
      <c r="R119" s="224">
        <f t="shared" si="170"/>
        <v>7.2964148527528819E-2</v>
      </c>
      <c r="S119" s="224">
        <f t="shared" si="171"/>
        <v>6.3</v>
      </c>
      <c r="T119" s="224">
        <f t="shared" si="172"/>
        <v>7.5119083969465636E-2</v>
      </c>
      <c r="U119" s="224">
        <f t="shared" si="173"/>
        <v>0.41315496183206102</v>
      </c>
      <c r="V119" s="224">
        <f t="shared" si="174"/>
        <v>0.3153854670473748</v>
      </c>
      <c r="W119" s="204">
        <f t="shared" si="175"/>
        <v>350</v>
      </c>
      <c r="X119" s="455">
        <f t="shared" si="176"/>
        <v>350</v>
      </c>
      <c r="Z119" s="224">
        <f t="shared" si="177"/>
        <v>0.29459717771406085</v>
      </c>
      <c r="AA119" s="180">
        <f t="shared" si="178"/>
        <v>1.2368583797155226</v>
      </c>
      <c r="AB119" s="180">
        <f t="shared" si="179"/>
        <v>3.7720509310379111E-2</v>
      </c>
      <c r="AC119" s="180"/>
      <c r="AD119" s="180">
        <f t="shared" si="180"/>
        <v>1.217557251908397</v>
      </c>
      <c r="AE119" s="564">
        <f t="shared" si="181"/>
        <v>86.17755609432183</v>
      </c>
      <c r="AF119" s="547">
        <f t="shared" si="182"/>
        <v>3.6552440597785188E-2</v>
      </c>
      <c r="AH119" s="180">
        <f t="shared" si="183"/>
        <v>0.14112718773107863</v>
      </c>
      <c r="AI119" s="180">
        <f t="shared" si="184"/>
        <v>0.28999999999999998</v>
      </c>
      <c r="AJ119" s="180">
        <f t="shared" si="185"/>
        <v>1.0492443177681838</v>
      </c>
      <c r="AL119" s="564">
        <f t="shared" si="186"/>
        <v>9</v>
      </c>
      <c r="AM119" s="473">
        <f t="shared" si="187"/>
        <v>86.17755609432183</v>
      </c>
      <c r="AO119" s="473">
        <f t="shared" si="188"/>
        <v>9</v>
      </c>
      <c r="AP119" s="473">
        <f t="shared" si="189"/>
        <v>86.17755609432183</v>
      </c>
      <c r="AR119" s="5">
        <f t="shared" si="140"/>
        <v>11.603949396122283</v>
      </c>
      <c r="AS119" s="5">
        <f t="shared" si="222"/>
        <v>1.5949999999999998</v>
      </c>
      <c r="AT119" s="5">
        <f t="shared" si="223"/>
        <v>10.008949396122283</v>
      </c>
      <c r="AU119" s="180">
        <f t="shared" si="224"/>
        <v>0.13745320197044331</v>
      </c>
      <c r="AW119" s="5">
        <f t="shared" si="193"/>
        <v>0.22785714285714279</v>
      </c>
      <c r="AX119" s="5">
        <f t="shared" si="194"/>
        <v>9.569999999999998E-2</v>
      </c>
      <c r="AY119" s="5">
        <f t="shared" si="195"/>
        <v>5.2546984329641958E-2</v>
      </c>
      <c r="AZ119" s="5"/>
      <c r="BA119" s="180">
        <f t="shared" si="196"/>
        <v>6.2074724554938031E-2</v>
      </c>
      <c r="BB119" s="180">
        <f t="shared" si="197"/>
        <v>9.1985557718610389E-2</v>
      </c>
      <c r="BC119" s="180">
        <f t="shared" si="198"/>
        <v>9.4067978619343962E-2</v>
      </c>
      <c r="BD119" s="180"/>
      <c r="BE119" s="547">
        <f t="shared" si="199"/>
        <v>1.3486449999999992E-3</v>
      </c>
      <c r="BF119" s="547">
        <f t="shared" si="200"/>
        <v>5.7730344827586193E-3</v>
      </c>
      <c r="BG119" s="547">
        <f t="shared" si="201"/>
        <v>1.0772194511790227E-3</v>
      </c>
      <c r="BH119" s="547">
        <f t="shared" si="202"/>
        <v>2.6441493281807366E-3</v>
      </c>
      <c r="BI119">
        <f t="shared" si="203"/>
        <v>2.8999999999999998E-3</v>
      </c>
      <c r="BJ119" s="473">
        <f t="shared" si="204"/>
        <v>13.743048262118377</v>
      </c>
      <c r="BK119" s="180">
        <f t="shared" si="205"/>
        <v>3.1499999999999996E-3</v>
      </c>
      <c r="BL119" s="180">
        <f t="shared" si="206"/>
        <v>3.1499999999999996E-3</v>
      </c>
      <c r="BM119" s="547"/>
      <c r="BO119" s="473">
        <f t="shared" si="207"/>
        <v>6.2999999999999989</v>
      </c>
      <c r="BP119" s="547">
        <f t="shared" si="208"/>
        <v>4.2385985714285692E-4</v>
      </c>
      <c r="BQ119" s="547">
        <f t="shared" si="209"/>
        <v>2.9614699900813317E-4</v>
      </c>
      <c r="BR119" s="547">
        <f t="shared" si="210"/>
        <v>2.6546353804588054E-4</v>
      </c>
      <c r="BS119" s="547">
        <f t="shared" si="211"/>
        <v>1.5611708498728229E-4</v>
      </c>
      <c r="BT119" s="657">
        <f t="shared" si="212"/>
        <v>7.2475324675324668E-3</v>
      </c>
      <c r="BU119" s="473">
        <f t="shared" si="213"/>
        <v>8.3891199467166206</v>
      </c>
      <c r="BV119" s="180">
        <f t="shared" si="214"/>
        <v>2.8432168208834992E-2</v>
      </c>
      <c r="BW119" s="5">
        <f t="shared" si="215"/>
        <v>0.19169999999999998</v>
      </c>
      <c r="BX119" s="180">
        <f t="shared" si="216"/>
        <v>0.87084046625179312</v>
      </c>
      <c r="BY119" s="5">
        <f t="shared" si="217"/>
        <v>87.084046625179312</v>
      </c>
      <c r="BZ119">
        <f t="shared" si="218"/>
        <v>8.9999999999999982</v>
      </c>
      <c r="CB119" s="582">
        <f t="shared" si="219"/>
        <v>-50</v>
      </c>
      <c r="CC119">
        <f t="shared" si="220"/>
        <v>-50</v>
      </c>
    </row>
    <row r="120" spans="5:81" x14ac:dyDescent="0.25">
      <c r="E120" s="177">
        <v>10</v>
      </c>
      <c r="F120" s="224">
        <f t="shared" si="221"/>
        <v>1.0000000000000002E-2</v>
      </c>
      <c r="G120" s="224">
        <f t="shared" si="160"/>
        <v>1.0000000000000002E-2</v>
      </c>
      <c r="H120" s="224">
        <f t="shared" si="161"/>
        <v>6.3000000000000014E-2</v>
      </c>
      <c r="I120" s="224">
        <f t="shared" si="162"/>
        <v>0.15000000000000002</v>
      </c>
      <c r="J120" s="560">
        <f t="shared" si="163"/>
        <v>10</v>
      </c>
      <c r="K120" s="455">
        <f t="shared" si="164"/>
        <v>13.1</v>
      </c>
      <c r="L120" s="455">
        <f t="shared" si="165"/>
        <v>23.1</v>
      </c>
      <c r="M120" s="455"/>
      <c r="N120" s="224">
        <f t="shared" si="166"/>
        <v>0.5670995670995671</v>
      </c>
      <c r="O120" s="179">
        <f t="shared" si="167"/>
        <v>1.0944622279129324</v>
      </c>
      <c r="P120" s="179">
        <f t="shared" si="168"/>
        <v>2.6058624474117433</v>
      </c>
      <c r="Q120" s="224">
        <f t="shared" si="169"/>
        <v>0.17372416316078293</v>
      </c>
      <c r="R120" s="224">
        <f t="shared" si="170"/>
        <v>7.2964148527528819E-2</v>
      </c>
      <c r="S120" s="224">
        <f t="shared" si="171"/>
        <v>6.3</v>
      </c>
      <c r="T120" s="224">
        <f t="shared" si="172"/>
        <v>8.3465648854961841E-2</v>
      </c>
      <c r="U120" s="224">
        <f t="shared" si="173"/>
        <v>0.45906106870229013</v>
      </c>
      <c r="V120" s="224">
        <f t="shared" si="174"/>
        <v>0.35042829671930548</v>
      </c>
      <c r="W120" s="204">
        <f t="shared" si="175"/>
        <v>350</v>
      </c>
      <c r="X120" s="455">
        <f t="shared" si="176"/>
        <v>350</v>
      </c>
      <c r="Z120" s="224">
        <f t="shared" si="177"/>
        <v>0.29459717771406085</v>
      </c>
      <c r="AA120" s="180">
        <f t="shared" si="178"/>
        <v>1.2368583797155226</v>
      </c>
      <c r="AB120" s="180">
        <f t="shared" si="179"/>
        <v>3.7720509310379111E-2</v>
      </c>
      <c r="AC120" s="180"/>
      <c r="AD120" s="180">
        <f t="shared" si="180"/>
        <v>1.217557251908397</v>
      </c>
      <c r="AE120" s="564">
        <f t="shared" si="181"/>
        <v>95.752840104802061</v>
      </c>
      <c r="AF120" s="547">
        <f t="shared" si="182"/>
        <v>3.6552440597785188E-2</v>
      </c>
      <c r="AH120" s="180">
        <f t="shared" si="183"/>
        <v>0.14876111766812633</v>
      </c>
      <c r="AI120" s="180">
        <f t="shared" si="184"/>
        <v>0.28999999999999998</v>
      </c>
      <c r="AJ120" s="180">
        <f t="shared" si="185"/>
        <v>1.0547159086313154</v>
      </c>
      <c r="AL120" s="564">
        <f t="shared" si="186"/>
        <v>10.000000000000002</v>
      </c>
      <c r="AM120" s="473">
        <f t="shared" si="187"/>
        <v>95.752840104802061</v>
      </c>
      <c r="AO120" s="473">
        <f t="shared" si="188"/>
        <v>10.000000000000002</v>
      </c>
      <c r="AP120" s="473">
        <f t="shared" si="189"/>
        <v>95.752840104802061</v>
      </c>
      <c r="AR120" s="5">
        <f t="shared" si="140"/>
        <v>10.443554456510054</v>
      </c>
      <c r="AS120" s="5">
        <f t="shared" si="222"/>
        <v>1.5949999999999998</v>
      </c>
      <c r="AT120" s="5">
        <f t="shared" si="223"/>
        <v>8.8485544565100547</v>
      </c>
      <c r="AU120" s="180">
        <f t="shared" si="224"/>
        <v>0.15272577996715925</v>
      </c>
      <c r="AW120" s="5">
        <f t="shared" si="193"/>
        <v>0.25317460317460316</v>
      </c>
      <c r="AX120" s="5">
        <f t="shared" si="194"/>
        <v>0.10633333333333332</v>
      </c>
      <c r="AY120" s="5">
        <f t="shared" si="195"/>
        <v>5.161656766297533E-2</v>
      </c>
      <c r="AZ120" s="5"/>
      <c r="BA120" s="180">
        <f t="shared" si="196"/>
        <v>6.5432504907062039E-2</v>
      </c>
      <c r="BB120" s="180">
        <f t="shared" si="197"/>
        <v>9.1167555141585047E-2</v>
      </c>
      <c r="BC120" s="180">
        <f t="shared" si="198"/>
        <v>9.3231457638935533E-2</v>
      </c>
      <c r="BD120" s="180"/>
      <c r="BE120" s="547">
        <f t="shared" si="199"/>
        <v>1.4984944444444441E-3</v>
      </c>
      <c r="BF120" s="547">
        <f t="shared" si="200"/>
        <v>6.4144827586206897E-3</v>
      </c>
      <c r="BG120" s="547">
        <f t="shared" si="201"/>
        <v>1.1969105013100256E-3</v>
      </c>
      <c r="BH120" s="547">
        <f t="shared" si="202"/>
        <v>2.9379436979785969E-3</v>
      </c>
      <c r="BI120">
        <f t="shared" si="203"/>
        <v>2.8999999999999998E-3</v>
      </c>
      <c r="BJ120" s="473">
        <f t="shared" si="204"/>
        <v>14.947831402353756</v>
      </c>
      <c r="BK120" s="180">
        <f t="shared" si="205"/>
        <v>3.5000000000000005E-3</v>
      </c>
      <c r="BL120" s="180">
        <f t="shared" si="206"/>
        <v>3.5000000000000005E-3</v>
      </c>
      <c r="BM120" s="547"/>
      <c r="BO120" s="473">
        <f t="shared" si="207"/>
        <v>7.0000000000000009</v>
      </c>
      <c r="BP120" s="547">
        <f t="shared" si="208"/>
        <v>4.7095539682539671E-4</v>
      </c>
      <c r="BQ120" s="547">
        <f t="shared" si="209"/>
        <v>2.9090330886728826E-4</v>
      </c>
      <c r="BR120" s="547">
        <f t="shared" si="210"/>
        <v>2.6076314080441892E-4</v>
      </c>
      <c r="BS120" s="547">
        <f t="shared" si="211"/>
        <v>2.0316278610118984E-4</v>
      </c>
      <c r="BT120" s="657">
        <f t="shared" si="212"/>
        <v>8.0528138528138532E-3</v>
      </c>
      <c r="BU120" s="473">
        <f t="shared" si="213"/>
        <v>9.2785984854121466</v>
      </c>
      <c r="BV120" s="180">
        <f t="shared" si="214"/>
        <v>3.1226429887765902E-2</v>
      </c>
      <c r="BW120" s="5">
        <f t="shared" si="215"/>
        <v>0.21300000000000002</v>
      </c>
      <c r="BX120" s="180">
        <f t="shared" si="216"/>
        <v>0.87214147992862201</v>
      </c>
      <c r="BY120" s="5">
        <f t="shared" si="217"/>
        <v>87.214147992862195</v>
      </c>
      <c r="BZ120">
        <f t="shared" si="218"/>
        <v>10.000000000000002</v>
      </c>
      <c r="CB120" s="582">
        <f t="shared" si="219"/>
        <v>-50</v>
      </c>
      <c r="CC120">
        <f t="shared" si="220"/>
        <v>-50</v>
      </c>
    </row>
    <row r="121" spans="5:81" x14ac:dyDescent="0.25">
      <c r="E121" s="177">
        <v>11</v>
      </c>
      <c r="F121" s="224">
        <f t="shared" si="221"/>
        <v>1.1000000000000001E-2</v>
      </c>
      <c r="G121" s="224">
        <f t="shared" si="160"/>
        <v>1.1000000000000001E-2</v>
      </c>
      <c r="H121" s="224">
        <f t="shared" si="161"/>
        <v>6.93E-2</v>
      </c>
      <c r="I121" s="224">
        <f t="shared" si="162"/>
        <v>0.16500000000000001</v>
      </c>
      <c r="J121" s="560">
        <f t="shared" si="163"/>
        <v>10</v>
      </c>
      <c r="K121" s="455">
        <f t="shared" si="164"/>
        <v>13.1</v>
      </c>
      <c r="L121" s="455">
        <f t="shared" si="165"/>
        <v>23.1</v>
      </c>
      <c r="M121" s="455"/>
      <c r="N121" s="224">
        <f t="shared" si="166"/>
        <v>0.5670995670995671</v>
      </c>
      <c r="O121" s="179">
        <f t="shared" si="167"/>
        <v>1.0944622279129324</v>
      </c>
      <c r="P121" s="179">
        <f t="shared" si="168"/>
        <v>2.6058624474117433</v>
      </c>
      <c r="Q121" s="224">
        <f t="shared" si="169"/>
        <v>0.17372416316078293</v>
      </c>
      <c r="R121" s="224">
        <f t="shared" si="170"/>
        <v>7.2964148527528819E-2</v>
      </c>
      <c r="S121" s="224">
        <f t="shared" si="171"/>
        <v>6.3</v>
      </c>
      <c r="T121" s="224">
        <f t="shared" si="172"/>
        <v>9.1812213740458018E-2</v>
      </c>
      <c r="U121" s="224">
        <f t="shared" si="173"/>
        <v>0.50496717557251902</v>
      </c>
      <c r="V121" s="224">
        <f t="shared" si="174"/>
        <v>0.38547112639123599</v>
      </c>
      <c r="W121" s="204">
        <f t="shared" si="175"/>
        <v>350</v>
      </c>
      <c r="X121" s="455">
        <f t="shared" si="176"/>
        <v>350</v>
      </c>
      <c r="Z121" s="224">
        <f t="shared" si="177"/>
        <v>0.29459717771406085</v>
      </c>
      <c r="AA121" s="180">
        <f t="shared" si="178"/>
        <v>1.2368583797155226</v>
      </c>
      <c r="AB121" s="180">
        <f t="shared" si="179"/>
        <v>3.7720509310379111E-2</v>
      </c>
      <c r="AC121" s="180"/>
      <c r="AD121" s="180">
        <f t="shared" si="180"/>
        <v>1.217557251908397</v>
      </c>
      <c r="AE121" s="564">
        <f t="shared" si="181"/>
        <v>105.32812411528224</v>
      </c>
      <c r="AF121" s="547">
        <f t="shared" si="182"/>
        <v>3.6552440597785188E-2</v>
      </c>
      <c r="AH121" s="180">
        <f t="shared" si="183"/>
        <v>0.15602197647401198</v>
      </c>
      <c r="AI121" s="180">
        <f t="shared" si="184"/>
        <v>0.28999999999999998</v>
      </c>
      <c r="AJ121" s="180">
        <f t="shared" si="185"/>
        <v>1.0601874994944469</v>
      </c>
      <c r="AL121" s="564">
        <f t="shared" si="186"/>
        <v>11.000000000000002</v>
      </c>
      <c r="AM121" s="473">
        <f t="shared" si="187"/>
        <v>105.32812411528224</v>
      </c>
      <c r="AO121" s="473">
        <f t="shared" si="188"/>
        <v>11.000000000000002</v>
      </c>
      <c r="AP121" s="473">
        <f t="shared" si="189"/>
        <v>105.32812411528224</v>
      </c>
      <c r="AR121" s="5">
        <f t="shared" si="140"/>
        <v>9.4941404150091415</v>
      </c>
      <c r="AS121" s="5">
        <f t="shared" si="222"/>
        <v>1.5949999999999998</v>
      </c>
      <c r="AT121" s="5">
        <f t="shared" si="223"/>
        <v>7.8991404150091418</v>
      </c>
      <c r="AU121" s="180">
        <f t="shared" si="224"/>
        <v>0.16799835796387513</v>
      </c>
      <c r="AW121" s="5">
        <f t="shared" si="193"/>
        <v>0.27849206349206346</v>
      </c>
      <c r="AX121" s="5">
        <f t="shared" si="194"/>
        <v>0.11696666666666666</v>
      </c>
      <c r="AY121" s="5">
        <f t="shared" si="195"/>
        <v>5.0686150996308653E-2</v>
      </c>
      <c r="AZ121" s="5"/>
      <c r="BA121" s="180">
        <f t="shared" si="196"/>
        <v>6.8626190104463511E-2</v>
      </c>
      <c r="BB121" s="180">
        <f t="shared" si="197"/>
        <v>9.0342146267310297E-2</v>
      </c>
      <c r="BC121" s="180">
        <f t="shared" si="198"/>
        <v>9.2387362693346214E-2</v>
      </c>
      <c r="BD121" s="180"/>
      <c r="BE121" s="547">
        <f t="shared" si="199"/>
        <v>1.6483438888888879E-3</v>
      </c>
      <c r="BF121" s="547">
        <f t="shared" si="200"/>
        <v>7.0559310344827575E-3</v>
      </c>
      <c r="BG121" s="547">
        <f t="shared" si="201"/>
        <v>1.316601551441028E-3</v>
      </c>
      <c r="BH121" s="547">
        <f t="shared" si="202"/>
        <v>3.2317380677764555E-3</v>
      </c>
      <c r="BI121">
        <f t="shared" si="203"/>
        <v>2.8999999999999998E-3</v>
      </c>
      <c r="BJ121" s="473">
        <f t="shared" si="204"/>
        <v>16.152614542589131</v>
      </c>
      <c r="BK121" s="180">
        <f t="shared" si="205"/>
        <v>3.8500000000000001E-3</v>
      </c>
      <c r="BL121" s="180">
        <f t="shared" si="206"/>
        <v>3.8500000000000001E-3</v>
      </c>
      <c r="BM121" s="547"/>
      <c r="BO121" s="473">
        <f t="shared" si="207"/>
        <v>7.7</v>
      </c>
      <c r="BP121" s="547">
        <f t="shared" si="208"/>
        <v>5.1805093650793624E-4</v>
      </c>
      <c r="BQ121" s="547">
        <f t="shared" si="209"/>
        <v>2.8565961872644314E-4</v>
      </c>
      <c r="BR121" s="547">
        <f t="shared" si="210"/>
        <v>2.5606274356295696E-4</v>
      </c>
      <c r="BS121" s="547">
        <f t="shared" si="211"/>
        <v>2.578255024950112E-4</v>
      </c>
      <c r="BT121" s="657">
        <f t="shared" si="212"/>
        <v>8.8580952380952361E-3</v>
      </c>
      <c r="BU121" s="473">
        <f t="shared" si="213"/>
        <v>10.175694039387585</v>
      </c>
      <c r="BV121" s="180">
        <f t="shared" si="214"/>
        <v>3.402830858197671E-2</v>
      </c>
      <c r="BW121" s="5">
        <f t="shared" si="215"/>
        <v>0.23430000000000001</v>
      </c>
      <c r="BX121" s="180">
        <f t="shared" si="216"/>
        <v>0.87318405291709744</v>
      </c>
      <c r="BY121" s="5">
        <f t="shared" si="217"/>
        <v>87.318405291709738</v>
      </c>
      <c r="BZ121">
        <f t="shared" si="218"/>
        <v>11</v>
      </c>
      <c r="CB121" s="582">
        <f t="shared" si="219"/>
        <v>-50</v>
      </c>
      <c r="CC121">
        <f t="shared" si="220"/>
        <v>-50</v>
      </c>
    </row>
    <row r="122" spans="5:81" x14ac:dyDescent="0.25">
      <c r="E122" s="177">
        <v>12</v>
      </c>
      <c r="F122" s="224">
        <f t="shared" si="221"/>
        <v>1.2E-2</v>
      </c>
      <c r="G122" s="224">
        <f t="shared" si="160"/>
        <v>1.2E-2</v>
      </c>
      <c r="H122" s="224">
        <f t="shared" si="161"/>
        <v>7.5600000000000001E-2</v>
      </c>
      <c r="I122" s="224">
        <f t="shared" si="162"/>
        <v>0.18</v>
      </c>
      <c r="J122" s="560">
        <f t="shared" si="163"/>
        <v>10</v>
      </c>
      <c r="K122" s="455">
        <f t="shared" si="164"/>
        <v>13.1</v>
      </c>
      <c r="L122" s="455">
        <f t="shared" si="165"/>
        <v>23.1</v>
      </c>
      <c r="M122" s="455"/>
      <c r="N122" s="224">
        <f t="shared" si="166"/>
        <v>0.5670995670995671</v>
      </c>
      <c r="O122" s="179">
        <f t="shared" si="167"/>
        <v>1.0944622279129324</v>
      </c>
      <c r="P122" s="179">
        <f t="shared" si="168"/>
        <v>2.6058624474117433</v>
      </c>
      <c r="Q122" s="224">
        <f t="shared" si="169"/>
        <v>0.17372416316078293</v>
      </c>
      <c r="R122" s="224">
        <f t="shared" si="170"/>
        <v>7.2964148527528819E-2</v>
      </c>
      <c r="S122" s="224">
        <f t="shared" si="171"/>
        <v>6.3</v>
      </c>
      <c r="T122" s="224">
        <f t="shared" si="172"/>
        <v>0.1001587786259542</v>
      </c>
      <c r="U122" s="224">
        <f t="shared" si="173"/>
        <v>0.55087328244274814</v>
      </c>
      <c r="V122" s="224">
        <f t="shared" si="174"/>
        <v>0.42051395606316649</v>
      </c>
      <c r="W122" s="204">
        <f t="shared" si="175"/>
        <v>350</v>
      </c>
      <c r="X122" s="455">
        <f t="shared" si="176"/>
        <v>350</v>
      </c>
      <c r="Z122" s="224">
        <f t="shared" si="177"/>
        <v>0.29459717771406085</v>
      </c>
      <c r="AA122" s="180">
        <f t="shared" si="178"/>
        <v>1.2368583797155226</v>
      </c>
      <c r="AB122" s="180">
        <f t="shared" si="179"/>
        <v>3.7720509310379111E-2</v>
      </c>
      <c r="AC122" s="180"/>
      <c r="AD122" s="180">
        <f t="shared" si="180"/>
        <v>1.217557251908397</v>
      </c>
      <c r="AE122" s="564">
        <f t="shared" si="181"/>
        <v>114.90340812576243</v>
      </c>
      <c r="AF122" s="547">
        <f t="shared" si="182"/>
        <v>3.6552440597785188E-2</v>
      </c>
      <c r="AH122" s="180">
        <f t="shared" si="183"/>
        <v>0.16295963965302623</v>
      </c>
      <c r="AI122" s="180">
        <f t="shared" si="184"/>
        <v>0.28999999999999998</v>
      </c>
      <c r="AJ122" s="180">
        <f t="shared" si="185"/>
        <v>1.0656590903575784</v>
      </c>
      <c r="AL122" s="564">
        <f t="shared" si="186"/>
        <v>12</v>
      </c>
      <c r="AM122" s="473">
        <f t="shared" si="187"/>
        <v>114.90340812576243</v>
      </c>
      <c r="AO122" s="473">
        <f t="shared" si="188"/>
        <v>12</v>
      </c>
      <c r="AP122" s="473">
        <f t="shared" si="189"/>
        <v>114.90340812576243</v>
      </c>
      <c r="AR122" s="5">
        <f t="shared" si="140"/>
        <v>8.7029620470917148</v>
      </c>
      <c r="AS122" s="5">
        <f t="shared" si="222"/>
        <v>1.5949999999999998</v>
      </c>
      <c r="AT122" s="5">
        <f t="shared" si="223"/>
        <v>7.1079620470917151</v>
      </c>
      <c r="AU122" s="180">
        <f t="shared" si="224"/>
        <v>0.18327093596059102</v>
      </c>
      <c r="AW122" s="5">
        <f t="shared" si="193"/>
        <v>0.30380952380952375</v>
      </c>
      <c r="AX122" s="5">
        <f t="shared" si="194"/>
        <v>0.12759999999999999</v>
      </c>
      <c r="AY122" s="5">
        <f t="shared" si="195"/>
        <v>4.9755734329642004E-2</v>
      </c>
      <c r="AZ122" s="5"/>
      <c r="BA122" s="180">
        <f t="shared" si="196"/>
        <v>7.1677717863330687E-2</v>
      </c>
      <c r="BB122" s="180">
        <f t="shared" si="197"/>
        <v>8.9509126204394565E-2</v>
      </c>
      <c r="BC122" s="180">
        <f t="shared" si="198"/>
        <v>9.1535484252737609E-2</v>
      </c>
      <c r="BD122" s="180"/>
      <c r="BE122" s="547">
        <f t="shared" si="199"/>
        <v>1.7981933333333321E-3</v>
      </c>
      <c r="BF122" s="547">
        <f t="shared" si="200"/>
        <v>7.6973793103448243E-3</v>
      </c>
      <c r="BG122" s="547">
        <f t="shared" si="201"/>
        <v>1.4362926015720303E-3</v>
      </c>
      <c r="BH122" s="547">
        <f t="shared" si="202"/>
        <v>3.5255324375743149E-3</v>
      </c>
      <c r="BI122">
        <f t="shared" si="203"/>
        <v>2.8999999999999998E-3</v>
      </c>
      <c r="BJ122" s="473">
        <f t="shared" si="204"/>
        <v>17.357397682824502</v>
      </c>
      <c r="BK122" s="180">
        <f t="shared" si="205"/>
        <v>4.1999999999999997E-3</v>
      </c>
      <c r="BL122" s="180">
        <f t="shared" si="206"/>
        <v>4.1999999999999997E-3</v>
      </c>
      <c r="BM122" s="547"/>
      <c r="BO122" s="473">
        <f t="shared" si="207"/>
        <v>8.4</v>
      </c>
      <c r="BP122" s="547">
        <f t="shared" si="208"/>
        <v>5.6514647619047582E-4</v>
      </c>
      <c r="BQ122" s="547">
        <f t="shared" si="209"/>
        <v>2.8041592858559818E-4</v>
      </c>
      <c r="BR122" s="547">
        <f t="shared" si="210"/>
        <v>2.5136234632149523E-4</v>
      </c>
      <c r="BS122" s="547">
        <f t="shared" si="211"/>
        <v>3.2047730148446955E-4</v>
      </c>
      <c r="BT122" s="657">
        <f t="shared" si="212"/>
        <v>9.6633766233766207E-3</v>
      </c>
      <c r="BU122" s="473">
        <f t="shared" si="213"/>
        <v>11.08077867595866</v>
      </c>
      <c r="BV122" s="180">
        <f t="shared" si="214"/>
        <v>3.6838176358783156E-2</v>
      </c>
      <c r="BW122" s="5">
        <f t="shared" si="215"/>
        <v>0.25559999999999999</v>
      </c>
      <c r="BX122" s="180">
        <f t="shared" si="216"/>
        <v>0.87403089152906088</v>
      </c>
      <c r="BY122" s="5">
        <f t="shared" si="217"/>
        <v>87.403089152906091</v>
      </c>
      <c r="BZ122">
        <f t="shared" si="218"/>
        <v>12</v>
      </c>
      <c r="CB122" s="582">
        <f t="shared" si="219"/>
        <v>-50</v>
      </c>
      <c r="CC122">
        <f t="shared" si="220"/>
        <v>-50</v>
      </c>
    </row>
    <row r="123" spans="5:81" x14ac:dyDescent="0.25">
      <c r="E123" s="177">
        <v>13</v>
      </c>
      <c r="F123" s="224">
        <f t="shared" si="221"/>
        <v>1.3000000000000001E-2</v>
      </c>
      <c r="G123" s="224">
        <f t="shared" si="160"/>
        <v>1.3000000000000001E-2</v>
      </c>
      <c r="H123" s="224">
        <f t="shared" si="161"/>
        <v>8.1900000000000001E-2</v>
      </c>
      <c r="I123" s="224">
        <f t="shared" si="162"/>
        <v>0.19500000000000001</v>
      </c>
      <c r="J123" s="560">
        <f t="shared" si="163"/>
        <v>10</v>
      </c>
      <c r="K123" s="455">
        <f t="shared" si="164"/>
        <v>13.1</v>
      </c>
      <c r="L123" s="455">
        <f t="shared" si="165"/>
        <v>23.1</v>
      </c>
      <c r="M123" s="455"/>
      <c r="N123" s="224">
        <f t="shared" si="166"/>
        <v>0.5670995670995671</v>
      </c>
      <c r="O123" s="179">
        <f t="shared" si="167"/>
        <v>1.0944622279129324</v>
      </c>
      <c r="P123" s="179">
        <f t="shared" si="168"/>
        <v>2.6058624474117433</v>
      </c>
      <c r="Q123" s="224">
        <f t="shared" si="169"/>
        <v>0.17372416316078293</v>
      </c>
      <c r="R123" s="224">
        <f t="shared" si="170"/>
        <v>7.2964148527528819E-2</v>
      </c>
      <c r="S123" s="224">
        <f t="shared" si="171"/>
        <v>6.3</v>
      </c>
      <c r="T123" s="224">
        <f t="shared" si="172"/>
        <v>0.1085053435114504</v>
      </c>
      <c r="U123" s="224">
        <f t="shared" si="173"/>
        <v>0.59677938931297725</v>
      </c>
      <c r="V123" s="224">
        <f t="shared" si="174"/>
        <v>0.45555678573509711</v>
      </c>
      <c r="W123" s="204">
        <f t="shared" si="175"/>
        <v>350</v>
      </c>
      <c r="X123" s="455">
        <f t="shared" si="176"/>
        <v>350</v>
      </c>
      <c r="Z123" s="224">
        <f t="shared" si="177"/>
        <v>0.29459717771406085</v>
      </c>
      <c r="AA123" s="180">
        <f t="shared" si="178"/>
        <v>1.2368583797155226</v>
      </c>
      <c r="AB123" s="180">
        <f t="shared" si="179"/>
        <v>3.7720509310379111E-2</v>
      </c>
      <c r="AC123" s="180"/>
      <c r="AD123" s="180">
        <f t="shared" si="180"/>
        <v>1.217557251908397</v>
      </c>
      <c r="AE123" s="564">
        <f t="shared" si="181"/>
        <v>124.47869213624266</v>
      </c>
      <c r="AF123" s="547">
        <f t="shared" si="182"/>
        <v>3.6552440597785188E-2</v>
      </c>
      <c r="AH123" s="180">
        <f t="shared" si="183"/>
        <v>0.16961377057547886</v>
      </c>
      <c r="AI123" s="180">
        <f t="shared" si="184"/>
        <v>0.28999999999999998</v>
      </c>
      <c r="AJ123" s="180">
        <f t="shared" si="185"/>
        <v>1.0711306812207102</v>
      </c>
      <c r="AL123" s="564">
        <f t="shared" si="186"/>
        <v>13.000000000000002</v>
      </c>
      <c r="AM123" s="473">
        <f t="shared" si="187"/>
        <v>124.47869213624266</v>
      </c>
      <c r="AO123" s="473">
        <f t="shared" si="188"/>
        <v>13.000000000000002</v>
      </c>
      <c r="AP123" s="473">
        <f t="shared" si="189"/>
        <v>124.47869213624266</v>
      </c>
      <c r="AR123" s="5">
        <f t="shared" si="140"/>
        <v>8.0335034280846571</v>
      </c>
      <c r="AS123" s="5">
        <f t="shared" si="222"/>
        <v>1.5949999999999998</v>
      </c>
      <c r="AT123" s="5">
        <f t="shared" si="223"/>
        <v>6.4385034280846574</v>
      </c>
      <c r="AU123" s="180">
        <f t="shared" si="224"/>
        <v>0.19854351395730699</v>
      </c>
      <c r="AW123" s="5">
        <f t="shared" si="193"/>
        <v>0.3291269841269841</v>
      </c>
      <c r="AX123" s="5">
        <f t="shared" si="194"/>
        <v>0.13823333333333332</v>
      </c>
      <c r="AY123" s="5">
        <f t="shared" si="195"/>
        <v>4.8825317662975314E-2</v>
      </c>
      <c r="AZ123" s="5"/>
      <c r="BA123" s="180">
        <f t="shared" si="196"/>
        <v>7.4604534097710881E-2</v>
      </c>
      <c r="BB123" s="180">
        <f t="shared" si="197"/>
        <v>8.8668280436491914E-2</v>
      </c>
      <c r="BC123" s="180">
        <f t="shared" si="198"/>
        <v>9.0675602944421868E-2</v>
      </c>
      <c r="BD123" s="180"/>
      <c r="BE123" s="547">
        <f t="shared" si="199"/>
        <v>1.9480427777777767E-3</v>
      </c>
      <c r="BF123" s="547">
        <f t="shared" si="200"/>
        <v>8.3388275862068956E-3</v>
      </c>
      <c r="BG123" s="547">
        <f t="shared" si="201"/>
        <v>1.5559836517030333E-3</v>
      </c>
      <c r="BH123" s="547">
        <f t="shared" si="202"/>
        <v>3.8193268073721757E-3</v>
      </c>
      <c r="BI123">
        <f t="shared" si="203"/>
        <v>2.8999999999999998E-3</v>
      </c>
      <c r="BJ123" s="473">
        <f t="shared" si="204"/>
        <v>18.562180823059883</v>
      </c>
      <c r="BK123" s="180">
        <f t="shared" si="205"/>
        <v>4.5500000000000002E-3</v>
      </c>
      <c r="BL123" s="180">
        <f t="shared" si="206"/>
        <v>4.5500000000000002E-3</v>
      </c>
      <c r="BM123" s="547"/>
      <c r="BO123" s="473">
        <f t="shared" si="207"/>
        <v>9.1</v>
      </c>
      <c r="BP123" s="547">
        <f t="shared" si="208"/>
        <v>6.1224201587301561E-4</v>
      </c>
      <c r="BQ123" s="547">
        <f t="shared" si="209"/>
        <v>2.7517223844475316E-4</v>
      </c>
      <c r="BR123" s="547">
        <f t="shared" si="210"/>
        <v>2.4666194908003338E-4</v>
      </c>
      <c r="BS123" s="547">
        <f t="shared" si="211"/>
        <v>3.9147365505225054E-4</v>
      </c>
      <c r="BT123" s="657">
        <f t="shared" si="212"/>
        <v>1.0468658008658009E-2</v>
      </c>
      <c r="BU123" s="473">
        <f t="shared" si="213"/>
        <v>11.994207867108063</v>
      </c>
      <c r="BV123" s="180">
        <f t="shared" si="214"/>
        <v>3.9656388690167944E-2</v>
      </c>
      <c r="BW123" s="5">
        <f t="shared" si="215"/>
        <v>0.27690000000000003</v>
      </c>
      <c r="BX123" s="180">
        <f t="shared" si="216"/>
        <v>0.87472567255945677</v>
      </c>
      <c r="BY123" s="5">
        <f t="shared" si="217"/>
        <v>87.472567255945677</v>
      </c>
      <c r="BZ123">
        <f t="shared" si="218"/>
        <v>13</v>
      </c>
      <c r="CB123" s="582">
        <f t="shared" si="219"/>
        <v>-50</v>
      </c>
      <c r="CC123">
        <f t="shared" si="220"/>
        <v>-50</v>
      </c>
    </row>
    <row r="124" spans="5:81" x14ac:dyDescent="0.25">
      <c r="E124" s="177">
        <v>14</v>
      </c>
      <c r="F124" s="224">
        <f t="shared" si="221"/>
        <v>1.4000000000000002E-2</v>
      </c>
      <c r="G124" s="224">
        <f t="shared" si="160"/>
        <v>1.4000000000000002E-2</v>
      </c>
      <c r="H124" s="224">
        <f t="shared" si="161"/>
        <v>8.8200000000000014E-2</v>
      </c>
      <c r="I124" s="224">
        <f t="shared" si="162"/>
        <v>0.21000000000000002</v>
      </c>
      <c r="J124" s="560">
        <f t="shared" si="163"/>
        <v>10</v>
      </c>
      <c r="K124" s="455">
        <f t="shared" si="164"/>
        <v>13.1</v>
      </c>
      <c r="L124" s="455">
        <f t="shared" si="165"/>
        <v>23.1</v>
      </c>
      <c r="M124" s="455"/>
      <c r="N124" s="224">
        <f t="shared" si="166"/>
        <v>0.5670995670995671</v>
      </c>
      <c r="O124" s="179">
        <f t="shared" si="167"/>
        <v>1.0944622279129324</v>
      </c>
      <c r="P124" s="179">
        <f t="shared" si="168"/>
        <v>2.6058624474117433</v>
      </c>
      <c r="Q124" s="224">
        <f t="shared" si="169"/>
        <v>0.17372416316078293</v>
      </c>
      <c r="R124" s="224">
        <f t="shared" si="170"/>
        <v>7.2964148527528819E-2</v>
      </c>
      <c r="S124" s="224">
        <f t="shared" si="171"/>
        <v>6.3</v>
      </c>
      <c r="T124" s="224">
        <f t="shared" si="172"/>
        <v>0.11685190839694658</v>
      </c>
      <c r="U124" s="224">
        <f t="shared" si="173"/>
        <v>0.64268549618320625</v>
      </c>
      <c r="V124" s="224">
        <f t="shared" si="174"/>
        <v>0.49059961540702768</v>
      </c>
      <c r="W124" s="204">
        <f t="shared" si="175"/>
        <v>350</v>
      </c>
      <c r="X124" s="455">
        <f t="shared" si="176"/>
        <v>350</v>
      </c>
      <c r="Z124" s="224">
        <f t="shared" si="177"/>
        <v>0.29459717771406085</v>
      </c>
      <c r="AA124" s="180">
        <f t="shared" si="178"/>
        <v>1.2368583797155226</v>
      </c>
      <c r="AB124" s="180">
        <f t="shared" si="179"/>
        <v>3.7720509310379111E-2</v>
      </c>
      <c r="AC124" s="180"/>
      <c r="AD124" s="180">
        <f t="shared" si="180"/>
        <v>1.217557251908397</v>
      </c>
      <c r="AE124" s="564">
        <f t="shared" si="181"/>
        <v>134.05397614672287</v>
      </c>
      <c r="AF124" s="547">
        <f t="shared" si="182"/>
        <v>3.6552440597785188E-2</v>
      </c>
      <c r="AH124" s="180">
        <f t="shared" si="183"/>
        <v>0.17601652814954108</v>
      </c>
      <c r="AI124" s="180">
        <f t="shared" si="184"/>
        <v>0.28999999999999998</v>
      </c>
      <c r="AJ124" s="180">
        <f t="shared" si="185"/>
        <v>1.0766022720838417</v>
      </c>
      <c r="AL124" s="564">
        <f t="shared" si="186"/>
        <v>14.000000000000002</v>
      </c>
      <c r="AM124" s="473">
        <f t="shared" si="187"/>
        <v>134.05397614672287</v>
      </c>
      <c r="AO124" s="473">
        <f t="shared" si="188"/>
        <v>14.000000000000002</v>
      </c>
      <c r="AP124" s="473">
        <f t="shared" si="189"/>
        <v>134.05397614672287</v>
      </c>
      <c r="AR124" s="5">
        <f t="shared" si="140"/>
        <v>7.4596817546500382</v>
      </c>
      <c r="AS124" s="5">
        <f t="shared" si="222"/>
        <v>1.5949999999999998</v>
      </c>
      <c r="AT124" s="5">
        <f t="shared" si="223"/>
        <v>5.8646817546500385</v>
      </c>
      <c r="AU124" s="180">
        <f t="shared" si="224"/>
        <v>0.21381609195402293</v>
      </c>
      <c r="AW124" s="5">
        <f t="shared" si="193"/>
        <v>0.35444444444444445</v>
      </c>
      <c r="AX124" s="5">
        <f t="shared" si="194"/>
        <v>0.14886666666666667</v>
      </c>
      <c r="AY124" s="5">
        <f t="shared" si="195"/>
        <v>4.7894900996308644E-2</v>
      </c>
      <c r="AZ124" s="5"/>
      <c r="BA124" s="180">
        <f t="shared" si="196"/>
        <v>7.7420783887647227E-2</v>
      </c>
      <c r="BB124" s="180">
        <f t="shared" si="197"/>
        <v>8.7819384177153681E-2</v>
      </c>
      <c r="BC124" s="180">
        <f t="shared" si="198"/>
        <v>8.9807488893107995E-2</v>
      </c>
      <c r="BD124" s="180"/>
      <c r="BE124" s="547">
        <f t="shared" si="199"/>
        <v>2.0978922222222216E-3</v>
      </c>
      <c r="BF124" s="547">
        <f t="shared" si="200"/>
        <v>8.9802758620689659E-3</v>
      </c>
      <c r="BG124" s="547">
        <f t="shared" si="201"/>
        <v>1.6756747018340358E-3</v>
      </c>
      <c r="BH124" s="547">
        <f t="shared" si="202"/>
        <v>4.1131211771700356E-3</v>
      </c>
      <c r="BI124">
        <f t="shared" si="203"/>
        <v>2.8999999999999998E-3</v>
      </c>
      <c r="BJ124" s="473">
        <f t="shared" si="204"/>
        <v>19.766963963295257</v>
      </c>
      <c r="BK124" s="180">
        <f t="shared" si="205"/>
        <v>4.9000000000000007E-3</v>
      </c>
      <c r="BL124" s="180">
        <f t="shared" si="206"/>
        <v>4.9000000000000007E-3</v>
      </c>
      <c r="BM124" s="547"/>
      <c r="BO124" s="473">
        <f t="shared" si="207"/>
        <v>9.8000000000000007</v>
      </c>
      <c r="BP124" s="547">
        <f t="shared" si="208"/>
        <v>6.5933755555555541E-4</v>
      </c>
      <c r="BQ124" s="547">
        <f t="shared" si="209"/>
        <v>2.6992854830390787E-4</v>
      </c>
      <c r="BR124" s="547">
        <f t="shared" si="210"/>
        <v>2.4196155183857146E-4</v>
      </c>
      <c r="BS124" s="547">
        <f t="shared" si="211"/>
        <v>4.7115548260032381E-4</v>
      </c>
      <c r="BT124" s="657">
        <f t="shared" si="212"/>
        <v>1.1273939393939395E-2</v>
      </c>
      <c r="BU124" s="473">
        <f t="shared" si="213"/>
        <v>12.916322532237755</v>
      </c>
      <c r="BV124" s="180">
        <f t="shared" si="214"/>
        <v>4.2483286495533013E-2</v>
      </c>
      <c r="BW124" s="5">
        <f t="shared" si="215"/>
        <v>0.29820000000000002</v>
      </c>
      <c r="BX124" s="180">
        <f t="shared" si="216"/>
        <v>0.87529976321251068</v>
      </c>
      <c r="BY124" s="5">
        <f t="shared" si="217"/>
        <v>87.52997632125107</v>
      </c>
      <c r="BZ124">
        <f t="shared" si="218"/>
        <v>14.000000000000002</v>
      </c>
      <c r="CB124" s="582">
        <f t="shared" si="219"/>
        <v>-50</v>
      </c>
      <c r="CC124">
        <f t="shared" si="220"/>
        <v>-50</v>
      </c>
    </row>
    <row r="125" spans="5:81" x14ac:dyDescent="0.25">
      <c r="E125" s="177">
        <v>15</v>
      </c>
      <c r="F125" s="224">
        <f t="shared" si="221"/>
        <v>1.4999999999999999E-2</v>
      </c>
      <c r="G125" s="224">
        <f t="shared" si="160"/>
        <v>1.4999999999999999E-2</v>
      </c>
      <c r="H125" s="224">
        <f t="shared" si="161"/>
        <v>9.4500000000000001E-2</v>
      </c>
      <c r="I125" s="224">
        <f t="shared" si="162"/>
        <v>0.22499999999999998</v>
      </c>
      <c r="J125" s="560">
        <f t="shared" si="163"/>
        <v>10</v>
      </c>
      <c r="K125" s="455">
        <f t="shared" si="164"/>
        <v>13.1</v>
      </c>
      <c r="L125" s="455">
        <f t="shared" si="165"/>
        <v>23.1</v>
      </c>
      <c r="M125" s="455"/>
      <c r="N125" s="224">
        <f t="shared" si="166"/>
        <v>0.5670995670995671</v>
      </c>
      <c r="O125" s="179">
        <f t="shared" si="167"/>
        <v>1.0944622279129324</v>
      </c>
      <c r="P125" s="179">
        <f t="shared" si="168"/>
        <v>2.6058624474117433</v>
      </c>
      <c r="Q125" s="224">
        <f t="shared" si="169"/>
        <v>0.17372416316078293</v>
      </c>
      <c r="R125" s="224">
        <f t="shared" si="170"/>
        <v>7.2964148527528819E-2</v>
      </c>
      <c r="S125" s="224">
        <f t="shared" si="171"/>
        <v>6.3</v>
      </c>
      <c r="T125" s="224">
        <f t="shared" si="172"/>
        <v>0.12519847328244274</v>
      </c>
      <c r="U125" s="224">
        <f t="shared" si="173"/>
        <v>0.68859160305343503</v>
      </c>
      <c r="V125" s="224">
        <f t="shared" si="174"/>
        <v>0.52564244507895808</v>
      </c>
      <c r="W125" s="204">
        <f t="shared" si="175"/>
        <v>350</v>
      </c>
      <c r="X125" s="455">
        <f t="shared" si="176"/>
        <v>350</v>
      </c>
      <c r="Z125" s="224">
        <f t="shared" si="177"/>
        <v>0.29459717771406085</v>
      </c>
      <c r="AA125" s="180">
        <f t="shared" si="178"/>
        <v>1.2368583797155226</v>
      </c>
      <c r="AB125" s="180">
        <f t="shared" si="179"/>
        <v>3.7720509310379111E-2</v>
      </c>
      <c r="AC125" s="180"/>
      <c r="AD125" s="180">
        <f t="shared" si="180"/>
        <v>1.217557251908397</v>
      </c>
      <c r="AE125" s="564">
        <f t="shared" si="181"/>
        <v>143.62926015720305</v>
      </c>
      <c r="AF125" s="547">
        <f t="shared" si="182"/>
        <v>3.6552440597785188E-2</v>
      </c>
      <c r="AH125" s="180">
        <f t="shared" si="183"/>
        <v>0.18219441592651844</v>
      </c>
      <c r="AI125" s="180">
        <f t="shared" si="184"/>
        <v>0.28999999999999998</v>
      </c>
      <c r="AJ125" s="180">
        <f t="shared" si="185"/>
        <v>1.0820738629469733</v>
      </c>
      <c r="AL125" s="564">
        <f t="shared" si="186"/>
        <v>15</v>
      </c>
      <c r="AM125" s="473">
        <f t="shared" si="187"/>
        <v>143.62926015720305</v>
      </c>
      <c r="AO125" s="473">
        <f t="shared" si="188"/>
        <v>15</v>
      </c>
      <c r="AP125" s="473">
        <f t="shared" si="189"/>
        <v>143.62926015720305</v>
      </c>
      <c r="AR125" s="5">
        <f t="shared" si="140"/>
        <v>6.9623696376733699</v>
      </c>
      <c r="AS125" s="5">
        <f t="shared" si="222"/>
        <v>1.5949999999999998</v>
      </c>
      <c r="AT125" s="5">
        <f t="shared" si="223"/>
        <v>5.3673696376733702</v>
      </c>
      <c r="AU125" s="180">
        <f t="shared" si="224"/>
        <v>0.22908866995073884</v>
      </c>
      <c r="AW125" s="5">
        <f t="shared" si="193"/>
        <v>0.37976190476190469</v>
      </c>
      <c r="AX125" s="5">
        <f t="shared" si="194"/>
        <v>0.15949999999999998</v>
      </c>
      <c r="AY125" s="5">
        <f t="shared" si="195"/>
        <v>4.6964484329641981E-2</v>
      </c>
      <c r="AZ125" s="5"/>
      <c r="BA125" s="180">
        <f t="shared" si="196"/>
        <v>8.0138124807229191E-2</v>
      </c>
      <c r="BB125" s="180">
        <f t="shared" si="197"/>
        <v>8.6962201667992831E-2</v>
      </c>
      <c r="BC125" s="180">
        <f t="shared" si="198"/>
        <v>8.8930901003177659E-2</v>
      </c>
      <c r="BD125" s="180"/>
      <c r="BE125" s="547">
        <f t="shared" si="199"/>
        <v>2.2477416666666647E-3</v>
      </c>
      <c r="BF125" s="547">
        <f t="shared" si="200"/>
        <v>9.6217241379310328E-3</v>
      </c>
      <c r="BG125" s="547">
        <f t="shared" si="201"/>
        <v>1.7953657519650379E-3</v>
      </c>
      <c r="BH125" s="547">
        <f t="shared" si="202"/>
        <v>4.4069155469678937E-3</v>
      </c>
      <c r="BI125">
        <f t="shared" si="203"/>
        <v>2.8999999999999998E-3</v>
      </c>
      <c r="BJ125" s="473">
        <f t="shared" si="204"/>
        <v>20.971747103530628</v>
      </c>
      <c r="BK125" s="180">
        <f t="shared" si="205"/>
        <v>5.2499999999999995E-3</v>
      </c>
      <c r="BL125" s="180">
        <f t="shared" si="206"/>
        <v>5.2499999999999995E-3</v>
      </c>
      <c r="BM125" s="547"/>
      <c r="BO125" s="473">
        <f t="shared" si="207"/>
        <v>10.499999999999998</v>
      </c>
      <c r="BP125" s="547">
        <f t="shared" si="208"/>
        <v>7.0643309523809466E-4</v>
      </c>
      <c r="BQ125" s="547">
        <f t="shared" si="209"/>
        <v>2.6468485816306297E-4</v>
      </c>
      <c r="BR125" s="547">
        <f t="shared" si="210"/>
        <v>2.3726115459710956E-4</v>
      </c>
      <c r="BS125" s="547">
        <f t="shared" si="211"/>
        <v>5.5985080575388102E-4</v>
      </c>
      <c r="BT125" s="657">
        <f t="shared" si="212"/>
        <v>1.2079220779220778E-2</v>
      </c>
      <c r="BU125" s="473">
        <f t="shared" si="213"/>
        <v>13.847450692972926</v>
      </c>
      <c r="BV125" s="180">
        <f t="shared" si="214"/>
        <v>4.5319197796503549E-2</v>
      </c>
      <c r="BW125" s="5">
        <f t="shared" si="215"/>
        <v>0.31950000000000001</v>
      </c>
      <c r="BX125" s="180">
        <f t="shared" si="216"/>
        <v>0.87577628022255927</v>
      </c>
      <c r="BY125" s="5">
        <f t="shared" si="217"/>
        <v>87.577628022255922</v>
      </c>
      <c r="BZ125">
        <f t="shared" si="218"/>
        <v>15</v>
      </c>
      <c r="CB125" s="582">
        <f t="shared" si="219"/>
        <v>-50</v>
      </c>
      <c r="CC125">
        <f t="shared" si="220"/>
        <v>-50</v>
      </c>
    </row>
    <row r="126" spans="5:81" x14ac:dyDescent="0.25">
      <c r="E126" s="177">
        <v>16</v>
      </c>
      <c r="F126" s="224">
        <f t="shared" si="221"/>
        <v>1.6E-2</v>
      </c>
      <c r="G126" s="224">
        <f t="shared" si="160"/>
        <v>1.6E-2</v>
      </c>
      <c r="H126" s="224">
        <f t="shared" si="161"/>
        <v>0.1008</v>
      </c>
      <c r="I126" s="224">
        <f t="shared" si="162"/>
        <v>0.24</v>
      </c>
      <c r="J126" s="560">
        <f t="shared" si="163"/>
        <v>10</v>
      </c>
      <c r="K126" s="455">
        <f t="shared" si="164"/>
        <v>13.1</v>
      </c>
      <c r="L126" s="455">
        <f t="shared" si="165"/>
        <v>23.1</v>
      </c>
      <c r="M126" s="455"/>
      <c r="N126" s="224">
        <f t="shared" si="166"/>
        <v>0.5670995670995671</v>
      </c>
      <c r="O126" s="179">
        <f t="shared" si="167"/>
        <v>1.0944622279129324</v>
      </c>
      <c r="P126" s="179">
        <f t="shared" si="168"/>
        <v>2.6058624474117433</v>
      </c>
      <c r="Q126" s="224">
        <f t="shared" si="169"/>
        <v>0.17372416316078293</v>
      </c>
      <c r="R126" s="224">
        <f t="shared" si="170"/>
        <v>7.2964148527528819E-2</v>
      </c>
      <c r="S126" s="224">
        <f t="shared" si="171"/>
        <v>6.3</v>
      </c>
      <c r="T126" s="224">
        <f t="shared" si="172"/>
        <v>0.13354503816793892</v>
      </c>
      <c r="U126" s="224">
        <f t="shared" si="173"/>
        <v>0.73449770992366414</v>
      </c>
      <c r="V126" s="224">
        <f t="shared" si="174"/>
        <v>0.56068527475088858</v>
      </c>
      <c r="W126" s="204">
        <f t="shared" si="175"/>
        <v>350</v>
      </c>
      <c r="X126" s="455">
        <f t="shared" si="176"/>
        <v>350</v>
      </c>
      <c r="Z126" s="224">
        <f t="shared" si="177"/>
        <v>0.29459717771406085</v>
      </c>
      <c r="AA126" s="180">
        <f t="shared" si="178"/>
        <v>1.2368583797155226</v>
      </c>
      <c r="AB126" s="180">
        <f t="shared" si="179"/>
        <v>3.7720509310379111E-2</v>
      </c>
      <c r="AC126" s="180"/>
      <c r="AD126" s="180">
        <f t="shared" si="180"/>
        <v>1.217557251908397</v>
      </c>
      <c r="AE126" s="564">
        <f t="shared" si="181"/>
        <v>153.20454416768325</v>
      </c>
      <c r="AF126" s="547">
        <f t="shared" si="182"/>
        <v>3.6552440597785188E-2</v>
      </c>
      <c r="AH126" s="180">
        <f t="shared" si="183"/>
        <v>0.18816958364143821</v>
      </c>
      <c r="AI126" s="180">
        <f t="shared" si="184"/>
        <v>0.28999999999999998</v>
      </c>
      <c r="AJ126" s="180">
        <f t="shared" si="185"/>
        <v>1.0875454538101048</v>
      </c>
      <c r="AL126" s="564">
        <f t="shared" si="186"/>
        <v>16</v>
      </c>
      <c r="AM126" s="473">
        <f t="shared" si="187"/>
        <v>153.20454416768325</v>
      </c>
      <c r="AO126" s="473">
        <f t="shared" si="188"/>
        <v>16</v>
      </c>
      <c r="AP126" s="473">
        <f t="shared" si="189"/>
        <v>153.20454416768325</v>
      </c>
      <c r="AR126" s="5">
        <f t="shared" si="140"/>
        <v>6.5272215353187848</v>
      </c>
      <c r="AS126" s="5">
        <f t="shared" si="222"/>
        <v>1.5949999999999998</v>
      </c>
      <c r="AT126" s="5">
        <f t="shared" si="223"/>
        <v>4.932221535318785</v>
      </c>
      <c r="AU126" s="180">
        <f t="shared" si="224"/>
        <v>0.24436124794745473</v>
      </c>
      <c r="AW126" s="5">
        <f t="shared" si="193"/>
        <v>0.40507936507936504</v>
      </c>
      <c r="AX126" s="5">
        <f t="shared" si="194"/>
        <v>0.1701333333333333</v>
      </c>
      <c r="AY126" s="5">
        <f t="shared" si="195"/>
        <v>4.6034067662975318E-2</v>
      </c>
      <c r="AZ126" s="5"/>
      <c r="BA126" s="180">
        <f t="shared" si="196"/>
        <v>8.2766299406584032E-2</v>
      </c>
      <c r="BB126" s="180">
        <f t="shared" si="197"/>
        <v>8.6096485413951693E-2</v>
      </c>
      <c r="BC126" s="180">
        <f t="shared" si="198"/>
        <v>8.8045586176640683E-2</v>
      </c>
      <c r="BD126" s="180"/>
      <c r="BE126" s="547">
        <f t="shared" si="199"/>
        <v>2.3975911111111092E-3</v>
      </c>
      <c r="BF126" s="547">
        <f t="shared" si="200"/>
        <v>1.0263172413793101E-2</v>
      </c>
      <c r="BG126" s="547">
        <f t="shared" si="201"/>
        <v>1.9150568020960407E-3</v>
      </c>
      <c r="BH126" s="547">
        <f t="shared" si="202"/>
        <v>4.7007099167657536E-3</v>
      </c>
      <c r="BI126">
        <f t="shared" si="203"/>
        <v>2.8999999999999998E-3</v>
      </c>
      <c r="BJ126" s="473">
        <f t="shared" si="204"/>
        <v>22.176530243766003</v>
      </c>
      <c r="BK126" s="180">
        <f t="shared" si="205"/>
        <v>5.5999999999999999E-3</v>
      </c>
      <c r="BL126" s="180">
        <f t="shared" si="206"/>
        <v>5.5999999999999999E-3</v>
      </c>
      <c r="BM126" s="547"/>
      <c r="BO126" s="473">
        <f t="shared" si="207"/>
        <v>11.2</v>
      </c>
      <c r="BP126" s="547">
        <f t="shared" si="208"/>
        <v>7.5352863492063435E-4</v>
      </c>
      <c r="BQ126" s="547">
        <f t="shared" si="209"/>
        <v>2.594411680222179E-4</v>
      </c>
      <c r="BR126" s="547">
        <f t="shared" si="210"/>
        <v>2.3256075735564782E-4</v>
      </c>
      <c r="BS126" s="547">
        <f t="shared" si="211"/>
        <v>6.5787611122212694E-4</v>
      </c>
      <c r="BT126" s="657">
        <f t="shared" si="212"/>
        <v>1.2884502164502163E-2</v>
      </c>
      <c r="BU126" s="473">
        <f t="shared" si="213"/>
        <v>14.78790883602279</v>
      </c>
      <c r="BV126" s="180">
        <f t="shared" si="214"/>
        <v>4.8164439079788797E-2</v>
      </c>
      <c r="BW126" s="5">
        <f t="shared" si="215"/>
        <v>0.34079999999999999</v>
      </c>
      <c r="BX126" s="180">
        <f t="shared" si="216"/>
        <v>0.87617264140203632</v>
      </c>
      <c r="BY126" s="5">
        <f t="shared" si="217"/>
        <v>87.617264140203631</v>
      </c>
      <c r="BZ126">
        <f t="shared" si="218"/>
        <v>16</v>
      </c>
      <c r="CB126" s="582">
        <f t="shared" si="219"/>
        <v>-50</v>
      </c>
      <c r="CC126">
        <f t="shared" si="220"/>
        <v>-50</v>
      </c>
    </row>
    <row r="127" spans="5:81" x14ac:dyDescent="0.25">
      <c r="E127" s="177">
        <v>17</v>
      </c>
      <c r="F127" s="224">
        <f t="shared" si="221"/>
        <v>1.7000000000000001E-2</v>
      </c>
      <c r="G127" s="224">
        <f t="shared" si="160"/>
        <v>1.7000000000000001E-2</v>
      </c>
      <c r="H127" s="224">
        <f t="shared" si="161"/>
        <v>0.1071</v>
      </c>
      <c r="I127" s="224">
        <f t="shared" si="162"/>
        <v>0.255</v>
      </c>
      <c r="J127" s="560">
        <f t="shared" si="163"/>
        <v>10</v>
      </c>
      <c r="K127" s="455">
        <f t="shared" si="164"/>
        <v>13.1</v>
      </c>
      <c r="L127" s="455">
        <f t="shared" si="165"/>
        <v>23.1</v>
      </c>
      <c r="M127" s="455"/>
      <c r="N127" s="224">
        <f t="shared" si="166"/>
        <v>0.5670995670995671</v>
      </c>
      <c r="O127" s="179">
        <f t="shared" si="167"/>
        <v>1.0944622279129324</v>
      </c>
      <c r="P127" s="179">
        <f t="shared" si="168"/>
        <v>2.6058624474117433</v>
      </c>
      <c r="Q127" s="224">
        <f t="shared" si="169"/>
        <v>0.17372416316078293</v>
      </c>
      <c r="R127" s="224">
        <f t="shared" si="170"/>
        <v>7.2964148527528819E-2</v>
      </c>
      <c r="S127" s="224">
        <f t="shared" si="171"/>
        <v>6.3</v>
      </c>
      <c r="T127" s="224">
        <f t="shared" si="172"/>
        <v>0.14189160305343509</v>
      </c>
      <c r="U127" s="224">
        <f t="shared" si="173"/>
        <v>0.78040381679389315</v>
      </c>
      <c r="V127" s="224">
        <f t="shared" si="174"/>
        <v>0.5957281044228192</v>
      </c>
      <c r="W127" s="204">
        <f t="shared" si="175"/>
        <v>350</v>
      </c>
      <c r="X127" s="455">
        <f t="shared" si="176"/>
        <v>350</v>
      </c>
      <c r="Z127" s="224">
        <f t="shared" si="177"/>
        <v>0.29459717771406085</v>
      </c>
      <c r="AA127" s="180">
        <f t="shared" si="178"/>
        <v>1.2368583797155226</v>
      </c>
      <c r="AB127" s="180">
        <f t="shared" si="179"/>
        <v>3.7720509310379111E-2</v>
      </c>
      <c r="AC127" s="180"/>
      <c r="AD127" s="180">
        <f t="shared" si="180"/>
        <v>1.217557251908397</v>
      </c>
      <c r="AE127" s="564">
        <f t="shared" si="181"/>
        <v>162.77982817816346</v>
      </c>
      <c r="AF127" s="547">
        <f t="shared" si="182"/>
        <v>3.6552440597785188E-2</v>
      </c>
      <c r="AH127" s="180">
        <f t="shared" si="183"/>
        <v>0.19396076722053671</v>
      </c>
      <c r="AI127" s="180">
        <f t="shared" si="184"/>
        <v>0.28999999999999998</v>
      </c>
      <c r="AJ127" s="180">
        <f t="shared" si="185"/>
        <v>1.0930170446732363</v>
      </c>
      <c r="AL127" s="564">
        <f t="shared" si="186"/>
        <v>17</v>
      </c>
      <c r="AM127" s="473">
        <f t="shared" si="187"/>
        <v>162.77982817816346</v>
      </c>
      <c r="AO127" s="473">
        <f t="shared" si="188"/>
        <v>17</v>
      </c>
      <c r="AP127" s="473">
        <f t="shared" si="189"/>
        <v>162.77982817816346</v>
      </c>
      <c r="AR127" s="5">
        <f t="shared" si="140"/>
        <v>6.1432673273588563</v>
      </c>
      <c r="AS127" s="5">
        <f t="shared" si="222"/>
        <v>1.5949999999999998</v>
      </c>
      <c r="AT127" s="5">
        <f t="shared" si="223"/>
        <v>4.5482673273588565</v>
      </c>
      <c r="AU127" s="180">
        <f t="shared" si="224"/>
        <v>0.25963382594417067</v>
      </c>
      <c r="AW127" s="5">
        <f t="shared" si="193"/>
        <v>0.43039682539682539</v>
      </c>
      <c r="AX127" s="5">
        <f t="shared" si="194"/>
        <v>0.18076666666666666</v>
      </c>
      <c r="AY127" s="5">
        <f t="shared" si="195"/>
        <v>4.5103650996308649E-2</v>
      </c>
      <c r="AZ127" s="5"/>
      <c r="BA127" s="180">
        <f t="shared" si="196"/>
        <v>8.5313548673710576E-2</v>
      </c>
      <c r="BB127" s="180">
        <f t="shared" si="197"/>
        <v>8.5221975348644285E-2</v>
      </c>
      <c r="BC127" s="180">
        <f t="shared" si="198"/>
        <v>8.7151278459581594E-2</v>
      </c>
      <c r="BD127" s="180"/>
      <c r="BE127" s="547">
        <f t="shared" si="199"/>
        <v>2.547440555555554E-3</v>
      </c>
      <c r="BF127" s="547">
        <f t="shared" si="200"/>
        <v>1.090462068965517E-2</v>
      </c>
      <c r="BG127" s="547">
        <f t="shared" si="201"/>
        <v>2.0347478522270432E-3</v>
      </c>
      <c r="BH127" s="547">
        <f t="shared" si="202"/>
        <v>4.9945042865636134E-3</v>
      </c>
      <c r="BI127">
        <f t="shared" si="203"/>
        <v>2.8999999999999998E-3</v>
      </c>
      <c r="BJ127" s="473">
        <f t="shared" si="204"/>
        <v>23.38131338400138</v>
      </c>
      <c r="BK127" s="180">
        <f t="shared" si="205"/>
        <v>5.9500000000000004E-3</v>
      </c>
      <c r="BL127" s="180">
        <f t="shared" si="206"/>
        <v>5.9500000000000004E-3</v>
      </c>
      <c r="BM127" s="547"/>
      <c r="BO127" s="473">
        <f t="shared" si="207"/>
        <v>11.9</v>
      </c>
      <c r="BP127" s="547">
        <f t="shared" si="208"/>
        <v>8.0062417460317415E-4</v>
      </c>
      <c r="BQ127" s="547">
        <f t="shared" si="209"/>
        <v>2.5419747788137272E-4</v>
      </c>
      <c r="BR127" s="547">
        <f t="shared" si="210"/>
        <v>2.278603601141859E-4</v>
      </c>
      <c r="BS127" s="547">
        <f t="shared" si="211"/>
        <v>7.6553748915555986E-4</v>
      </c>
      <c r="BT127" s="657">
        <f t="shared" si="212"/>
        <v>1.3689783549783547E-2</v>
      </c>
      <c r="BU127" s="473">
        <f t="shared" si="213"/>
        <v>15.73800305153784</v>
      </c>
      <c r="BV127" s="180">
        <f t="shared" si="214"/>
        <v>5.1019316435539218E-2</v>
      </c>
      <c r="BW127" s="5">
        <f t="shared" si="215"/>
        <v>0.36209999999999998</v>
      </c>
      <c r="BX127" s="180">
        <f t="shared" si="216"/>
        <v>0.87650222488809726</v>
      </c>
      <c r="BY127" s="5">
        <f t="shared" si="217"/>
        <v>87.650222488809732</v>
      </c>
      <c r="BZ127">
        <f t="shared" si="218"/>
        <v>17</v>
      </c>
      <c r="CB127" s="582">
        <f t="shared" si="219"/>
        <v>-50</v>
      </c>
      <c r="CC127">
        <f t="shared" si="220"/>
        <v>-50</v>
      </c>
    </row>
    <row r="128" spans="5:81" x14ac:dyDescent="0.25">
      <c r="E128" s="177">
        <v>18</v>
      </c>
      <c r="F128" s="224">
        <f t="shared" si="221"/>
        <v>1.7999999999999999E-2</v>
      </c>
      <c r="G128" s="224">
        <f t="shared" si="160"/>
        <v>1.7999999999999999E-2</v>
      </c>
      <c r="H128" s="224">
        <f t="shared" si="161"/>
        <v>0.11339999999999999</v>
      </c>
      <c r="I128" s="224">
        <f t="shared" si="162"/>
        <v>0.26999999999999996</v>
      </c>
      <c r="J128" s="560">
        <f t="shared" si="163"/>
        <v>10</v>
      </c>
      <c r="K128" s="455">
        <f t="shared" si="164"/>
        <v>13.1</v>
      </c>
      <c r="L128" s="455">
        <f t="shared" si="165"/>
        <v>23.1</v>
      </c>
      <c r="M128" s="455"/>
      <c r="N128" s="224">
        <f t="shared" si="166"/>
        <v>0.5670995670995671</v>
      </c>
      <c r="O128" s="179">
        <f t="shared" si="167"/>
        <v>1.0944622279129324</v>
      </c>
      <c r="P128" s="179">
        <f t="shared" si="168"/>
        <v>2.6058624474117433</v>
      </c>
      <c r="Q128" s="224">
        <f t="shared" si="169"/>
        <v>0.17372416316078293</v>
      </c>
      <c r="R128" s="224">
        <f t="shared" si="170"/>
        <v>7.2964148527528819E-2</v>
      </c>
      <c r="S128" s="224">
        <f t="shared" si="171"/>
        <v>6.3</v>
      </c>
      <c r="T128" s="224">
        <f t="shared" si="172"/>
        <v>0.15023816793893127</v>
      </c>
      <c r="U128" s="224">
        <f t="shared" si="173"/>
        <v>0.82630992366412204</v>
      </c>
      <c r="V128" s="224">
        <f t="shared" si="174"/>
        <v>0.6307709340947496</v>
      </c>
      <c r="W128" s="204">
        <f t="shared" si="175"/>
        <v>350</v>
      </c>
      <c r="X128" s="455">
        <f t="shared" si="176"/>
        <v>350</v>
      </c>
      <c r="Z128" s="224">
        <f t="shared" si="177"/>
        <v>0.29459717771406085</v>
      </c>
      <c r="AA128" s="180">
        <f t="shared" si="178"/>
        <v>1.2368583797155226</v>
      </c>
      <c r="AB128" s="180">
        <f t="shared" si="179"/>
        <v>3.7720509310379111E-2</v>
      </c>
      <c r="AC128" s="180"/>
      <c r="AD128" s="180">
        <f t="shared" si="180"/>
        <v>1.217557251908397</v>
      </c>
      <c r="AE128" s="564">
        <f t="shared" si="181"/>
        <v>172.35511218864366</v>
      </c>
      <c r="AF128" s="547">
        <f t="shared" si="182"/>
        <v>3.6552440597785188E-2</v>
      </c>
      <c r="AH128" s="180">
        <f t="shared" si="183"/>
        <v>0.19958398290886528</v>
      </c>
      <c r="AI128" s="180">
        <f t="shared" si="184"/>
        <v>0.28999999999999998</v>
      </c>
      <c r="AJ128" s="180">
        <f t="shared" si="185"/>
        <v>1.0984886355363679</v>
      </c>
      <c r="AL128" s="564">
        <f t="shared" si="186"/>
        <v>18</v>
      </c>
      <c r="AM128" s="473">
        <f t="shared" si="187"/>
        <v>172.35511218864366</v>
      </c>
      <c r="AO128" s="473">
        <f t="shared" si="188"/>
        <v>18</v>
      </c>
      <c r="AP128" s="473">
        <f t="shared" si="189"/>
        <v>172.35511218864366</v>
      </c>
      <c r="AR128" s="5">
        <f t="shared" si="140"/>
        <v>5.8019746980611417</v>
      </c>
      <c r="AS128" s="5">
        <f t="shared" si="222"/>
        <v>1.5949999999999998</v>
      </c>
      <c r="AT128" s="5">
        <f t="shared" si="223"/>
        <v>4.206974698061142</v>
      </c>
      <c r="AU128" s="180">
        <f t="shared" si="224"/>
        <v>0.27490640394088661</v>
      </c>
      <c r="AW128" s="5">
        <f t="shared" si="193"/>
        <v>0.45571428571428557</v>
      </c>
      <c r="AX128" s="5">
        <f t="shared" si="194"/>
        <v>0.19139999999999996</v>
      </c>
      <c r="AY128" s="5">
        <f t="shared" si="195"/>
        <v>4.4173234329641972E-2</v>
      </c>
      <c r="AZ128" s="5"/>
      <c r="BA128" s="180">
        <f t="shared" si="196"/>
        <v>8.7786917346167545E-2</v>
      </c>
      <c r="BB128" s="180">
        <f t="shared" si="197"/>
        <v>8.4338397921795247E-2</v>
      </c>
      <c r="BC128" s="180">
        <f t="shared" si="198"/>
        <v>8.6247698108939716E-2</v>
      </c>
      <c r="BD128" s="180"/>
      <c r="BE128" s="547">
        <f t="shared" si="199"/>
        <v>2.6972899999999985E-3</v>
      </c>
      <c r="BF128" s="547">
        <f t="shared" si="200"/>
        <v>1.1546068965517239E-2</v>
      </c>
      <c r="BG128" s="547">
        <f t="shared" si="201"/>
        <v>2.1544389023580453E-3</v>
      </c>
      <c r="BH128" s="547">
        <f t="shared" si="202"/>
        <v>5.2882986563614733E-3</v>
      </c>
      <c r="BI128">
        <f t="shared" si="203"/>
        <v>2.8999999999999998E-3</v>
      </c>
      <c r="BJ128" s="473">
        <f t="shared" si="204"/>
        <v>24.586096524236751</v>
      </c>
      <c r="BK128" s="180">
        <f t="shared" si="205"/>
        <v>6.2999999999999992E-3</v>
      </c>
      <c r="BL128" s="180">
        <f t="shared" si="206"/>
        <v>6.2999999999999992E-3</v>
      </c>
      <c r="BM128" s="547"/>
      <c r="BO128" s="473">
        <f t="shared" si="207"/>
        <v>12.599999999999998</v>
      </c>
      <c r="BP128" s="547">
        <f t="shared" si="208"/>
        <v>8.4771971428571383E-4</v>
      </c>
      <c r="BQ128" s="547">
        <f t="shared" si="209"/>
        <v>2.489537877405277E-4</v>
      </c>
      <c r="BR128" s="547">
        <f t="shared" si="210"/>
        <v>2.2315996287272408E-4</v>
      </c>
      <c r="BS128" s="547">
        <f t="shared" si="211"/>
        <v>8.8313159562867041E-4</v>
      </c>
      <c r="BT128" s="657">
        <f t="shared" si="212"/>
        <v>1.4495064935064934E-2</v>
      </c>
      <c r="BU128" s="473">
        <f t="shared" si="213"/>
        <v>16.69802999559257</v>
      </c>
      <c r="BV128" s="180">
        <f t="shared" si="214"/>
        <v>5.3884126519829323E-2</v>
      </c>
      <c r="BW128" s="5">
        <f t="shared" si="215"/>
        <v>0.38339999999999996</v>
      </c>
      <c r="BX128" s="180">
        <f t="shared" si="216"/>
        <v>0.87677548016967433</v>
      </c>
      <c r="BY128" s="5">
        <f t="shared" si="217"/>
        <v>87.677548016967435</v>
      </c>
      <c r="BZ128">
        <f t="shared" si="218"/>
        <v>17.999999999999996</v>
      </c>
      <c r="CB128" s="582">
        <f t="shared" si="219"/>
        <v>-50</v>
      </c>
      <c r="CC128">
        <f t="shared" si="220"/>
        <v>-50</v>
      </c>
    </row>
    <row r="129" spans="5:81" x14ac:dyDescent="0.25">
      <c r="E129" s="177">
        <v>19</v>
      </c>
      <c r="F129" s="224">
        <f t="shared" si="221"/>
        <v>1.9000000000000003E-2</v>
      </c>
      <c r="G129" s="224">
        <f t="shared" si="160"/>
        <v>1.9000000000000003E-2</v>
      </c>
      <c r="H129" s="224">
        <f t="shared" si="161"/>
        <v>0.11970000000000001</v>
      </c>
      <c r="I129" s="224">
        <f t="shared" si="162"/>
        <v>0.28500000000000003</v>
      </c>
      <c r="J129" s="560">
        <f t="shared" si="163"/>
        <v>10</v>
      </c>
      <c r="K129" s="455">
        <f t="shared" si="164"/>
        <v>13.1</v>
      </c>
      <c r="L129" s="455">
        <f t="shared" si="165"/>
        <v>23.1</v>
      </c>
      <c r="M129" s="455"/>
      <c r="N129" s="224">
        <f t="shared" si="166"/>
        <v>0.5670995670995671</v>
      </c>
      <c r="O129" s="179">
        <f t="shared" si="167"/>
        <v>1.0944622279129324</v>
      </c>
      <c r="P129" s="179">
        <f t="shared" si="168"/>
        <v>2.6058624474117433</v>
      </c>
      <c r="Q129" s="224">
        <f t="shared" si="169"/>
        <v>0.17372416316078293</v>
      </c>
      <c r="R129" s="224">
        <f t="shared" si="170"/>
        <v>7.2964148527528819E-2</v>
      </c>
      <c r="S129" s="224">
        <f t="shared" si="171"/>
        <v>6.3</v>
      </c>
      <c r="T129" s="224">
        <f t="shared" si="172"/>
        <v>0.1585847328244275</v>
      </c>
      <c r="U129" s="224">
        <f t="shared" si="173"/>
        <v>0.87221603053435137</v>
      </c>
      <c r="V129" s="224">
        <f t="shared" si="174"/>
        <v>0.66581376376668044</v>
      </c>
      <c r="W129" s="204">
        <f t="shared" si="175"/>
        <v>350</v>
      </c>
      <c r="X129" s="455">
        <f t="shared" si="176"/>
        <v>350</v>
      </c>
      <c r="Z129" s="224">
        <f t="shared" si="177"/>
        <v>0.29459717771406085</v>
      </c>
      <c r="AA129" s="180">
        <f t="shared" si="178"/>
        <v>1.2368583797155226</v>
      </c>
      <c r="AB129" s="180">
        <f t="shared" si="179"/>
        <v>3.7720509310379111E-2</v>
      </c>
      <c r="AC129" s="180"/>
      <c r="AD129" s="180">
        <f t="shared" si="180"/>
        <v>1.217557251908397</v>
      </c>
      <c r="AE129" s="564">
        <f t="shared" si="181"/>
        <v>181.93039619912389</v>
      </c>
      <c r="AF129" s="547">
        <f t="shared" si="182"/>
        <v>3.6552440597785188E-2</v>
      </c>
      <c r="AH129" s="180">
        <f t="shared" si="183"/>
        <v>0.20505304983528838</v>
      </c>
      <c r="AI129" s="180">
        <f t="shared" si="184"/>
        <v>0.28999999999999998</v>
      </c>
      <c r="AJ129" s="180">
        <f t="shared" si="185"/>
        <v>1.1039602263994994</v>
      </c>
      <c r="AL129" s="564">
        <f t="shared" si="186"/>
        <v>19.000000000000004</v>
      </c>
      <c r="AM129" s="473">
        <f t="shared" si="187"/>
        <v>181.93039619912389</v>
      </c>
      <c r="AO129" s="473">
        <f t="shared" si="188"/>
        <v>19.000000000000004</v>
      </c>
      <c r="AP129" s="473">
        <f t="shared" si="189"/>
        <v>181.93039619912389</v>
      </c>
      <c r="AR129" s="5">
        <f t="shared" si="140"/>
        <v>5.4966076086895024</v>
      </c>
      <c r="AS129" s="5">
        <f t="shared" si="222"/>
        <v>1.5949999999999998</v>
      </c>
      <c r="AT129" s="5">
        <f t="shared" si="223"/>
        <v>3.9016076086895026</v>
      </c>
      <c r="AU129" s="180">
        <f t="shared" si="224"/>
        <v>0.29017898193760255</v>
      </c>
      <c r="AW129" s="5">
        <f t="shared" si="193"/>
        <v>0.48103174603174603</v>
      </c>
      <c r="AX129" s="5">
        <f t="shared" si="194"/>
        <v>0.20203333333333334</v>
      </c>
      <c r="AY129" s="5">
        <f t="shared" si="195"/>
        <v>4.3242817662975316E-2</v>
      </c>
      <c r="AZ129" s="5"/>
      <c r="BA129" s="180">
        <f t="shared" si="196"/>
        <v>9.019248376103256E-2</v>
      </c>
      <c r="BB129" s="180">
        <f t="shared" si="197"/>
        <v>8.3445465099699787E-2</v>
      </c>
      <c r="BC129" s="180">
        <f t="shared" si="198"/>
        <v>8.5334550570340922E-2</v>
      </c>
      <c r="BD129" s="180"/>
      <c r="BE129" s="547">
        <f t="shared" si="199"/>
        <v>2.8471394444444429E-3</v>
      </c>
      <c r="BF129" s="547">
        <f t="shared" si="200"/>
        <v>1.2187517241379309E-2</v>
      </c>
      <c r="BG129" s="547">
        <f t="shared" si="201"/>
        <v>2.2741299524890487E-3</v>
      </c>
      <c r="BH129" s="547">
        <f t="shared" si="202"/>
        <v>5.5820930261593332E-3</v>
      </c>
      <c r="BI129">
        <f t="shared" si="203"/>
        <v>2.8999999999999998E-3</v>
      </c>
      <c r="BJ129" s="473">
        <f t="shared" si="204"/>
        <v>25.790879664472133</v>
      </c>
      <c r="BK129" s="180">
        <f t="shared" si="205"/>
        <v>6.6500000000000005E-3</v>
      </c>
      <c r="BL129" s="180">
        <f t="shared" si="206"/>
        <v>6.6500000000000005E-3</v>
      </c>
      <c r="BM129" s="547"/>
      <c r="BO129" s="473">
        <f t="shared" si="207"/>
        <v>13.3</v>
      </c>
      <c r="BP129" s="547">
        <f t="shared" si="208"/>
        <v>8.9481525396825352E-4</v>
      </c>
      <c r="BQ129" s="547">
        <f t="shared" si="209"/>
        <v>2.4371009759968255E-4</v>
      </c>
      <c r="BR129" s="547">
        <f t="shared" si="210"/>
        <v>2.1845956563126216E-4</v>
      </c>
      <c r="BS129" s="547">
        <f t="shared" si="211"/>
        <v>1.0109464751107688E-3</v>
      </c>
      <c r="BT129" s="657">
        <f t="shared" si="212"/>
        <v>1.5300346320346322E-2</v>
      </c>
      <c r="BU129" s="473">
        <f t="shared" si="213"/>
        <v>17.668277712656288</v>
      </c>
      <c r="BV129" s="180">
        <f t="shared" si="214"/>
        <v>5.675915737712843E-2</v>
      </c>
      <c r="BW129" s="5">
        <f t="shared" si="215"/>
        <v>0.40470000000000006</v>
      </c>
      <c r="BX129" s="180">
        <f t="shared" si="216"/>
        <v>0.87700069124266633</v>
      </c>
      <c r="BY129" s="5">
        <f t="shared" si="217"/>
        <v>87.700069124266633</v>
      </c>
      <c r="BZ129">
        <f t="shared" si="218"/>
        <v>19.000000000000004</v>
      </c>
      <c r="CB129" s="582">
        <f t="shared" si="219"/>
        <v>-50</v>
      </c>
      <c r="CC129">
        <f t="shared" si="220"/>
        <v>-50</v>
      </c>
    </row>
    <row r="130" spans="5:81" x14ac:dyDescent="0.25">
      <c r="E130" s="177">
        <v>20</v>
      </c>
      <c r="F130" s="224">
        <f t="shared" si="221"/>
        <v>2.0000000000000004E-2</v>
      </c>
      <c r="G130" s="224">
        <f t="shared" si="160"/>
        <v>2.0000000000000004E-2</v>
      </c>
      <c r="H130" s="224">
        <f t="shared" si="161"/>
        <v>0.12600000000000003</v>
      </c>
      <c r="I130" s="224">
        <f t="shared" si="162"/>
        <v>0.30000000000000004</v>
      </c>
      <c r="J130" s="560">
        <f t="shared" si="163"/>
        <v>10</v>
      </c>
      <c r="K130" s="455">
        <f t="shared" si="164"/>
        <v>13.1</v>
      </c>
      <c r="L130" s="455">
        <f t="shared" si="165"/>
        <v>23.1</v>
      </c>
      <c r="M130" s="455"/>
      <c r="N130" s="224">
        <f t="shared" si="166"/>
        <v>0.5670995670995671</v>
      </c>
      <c r="O130" s="179">
        <f t="shared" si="167"/>
        <v>1.0944622279129324</v>
      </c>
      <c r="P130" s="179">
        <f t="shared" si="168"/>
        <v>2.6058624474117433</v>
      </c>
      <c r="Q130" s="224">
        <f t="shared" si="169"/>
        <v>0.17372416316078293</v>
      </c>
      <c r="R130" s="224">
        <f t="shared" si="170"/>
        <v>7.2964148527528819E-2</v>
      </c>
      <c r="S130" s="224">
        <f t="shared" si="171"/>
        <v>6.3</v>
      </c>
      <c r="T130" s="224">
        <f t="shared" si="172"/>
        <v>0.16693129770992368</v>
      </c>
      <c r="U130" s="224">
        <f t="shared" si="173"/>
        <v>0.91812213740458026</v>
      </c>
      <c r="V130" s="224">
        <f t="shared" si="174"/>
        <v>0.70085659343861095</v>
      </c>
      <c r="W130" s="204">
        <f t="shared" si="175"/>
        <v>350</v>
      </c>
      <c r="X130" s="455">
        <f t="shared" si="176"/>
        <v>350</v>
      </c>
      <c r="Z130" s="224">
        <f t="shared" si="177"/>
        <v>0.29459717771406085</v>
      </c>
      <c r="AA130" s="180">
        <f t="shared" si="178"/>
        <v>1.2368583797155226</v>
      </c>
      <c r="AB130" s="180">
        <f t="shared" si="179"/>
        <v>3.7720509310379111E-2</v>
      </c>
      <c r="AC130" s="180"/>
      <c r="AD130" s="180">
        <f t="shared" si="180"/>
        <v>1.217557251908397</v>
      </c>
      <c r="AE130" s="564">
        <f t="shared" si="181"/>
        <v>191.50568020960412</v>
      </c>
      <c r="AF130" s="547">
        <f t="shared" si="182"/>
        <v>3.6552440597785188E-2</v>
      </c>
      <c r="AH130" s="180">
        <f t="shared" si="183"/>
        <v>0.21037999016004413</v>
      </c>
      <c r="AI130" s="180">
        <f t="shared" si="184"/>
        <v>0.28999999999999998</v>
      </c>
      <c r="AJ130" s="180">
        <f t="shared" si="185"/>
        <v>1.109431817262631</v>
      </c>
      <c r="AL130" s="564">
        <f t="shared" si="186"/>
        <v>20.000000000000004</v>
      </c>
      <c r="AM130" s="473">
        <f t="shared" si="187"/>
        <v>191.50568020960412</v>
      </c>
      <c r="AO130" s="473">
        <f t="shared" si="188"/>
        <v>20.000000000000004</v>
      </c>
      <c r="AP130" s="473">
        <f t="shared" si="189"/>
        <v>191.50568020960412</v>
      </c>
      <c r="AR130" s="5">
        <f t="shared" si="140"/>
        <v>5.2217772282550268</v>
      </c>
      <c r="AS130" s="5">
        <f t="shared" si="222"/>
        <v>1.5949999999999998</v>
      </c>
      <c r="AT130" s="5">
        <f t="shared" si="223"/>
        <v>3.626777228255027</v>
      </c>
      <c r="AU130" s="180">
        <f t="shared" si="224"/>
        <v>0.3054515599343185</v>
      </c>
      <c r="AW130" s="5">
        <f t="shared" si="193"/>
        <v>0.50634920634920633</v>
      </c>
      <c r="AX130" s="5">
        <f t="shared" si="194"/>
        <v>0.21266666666666664</v>
      </c>
      <c r="AY130" s="5">
        <f t="shared" si="195"/>
        <v>4.2312400996308654E-2</v>
      </c>
      <c r="AZ130" s="5"/>
      <c r="BA130" s="180">
        <f t="shared" si="196"/>
        <v>9.2535535859611218E-2</v>
      </c>
      <c r="BB130" s="180">
        <f t="shared" si="197"/>
        <v>8.2542873268352843E-2</v>
      </c>
      <c r="BC130" s="180">
        <f t="shared" si="198"/>
        <v>8.4411525356395178E-2</v>
      </c>
      <c r="BD130" s="180"/>
      <c r="BE130" s="547">
        <f t="shared" si="199"/>
        <v>2.9969888888888873E-3</v>
      </c>
      <c r="BF130" s="547">
        <f t="shared" si="200"/>
        <v>1.2828965517241379E-2</v>
      </c>
      <c r="BG130" s="547">
        <f t="shared" si="201"/>
        <v>2.3938210026200513E-3</v>
      </c>
      <c r="BH130" s="547">
        <f t="shared" si="202"/>
        <v>5.8758873959571939E-3</v>
      </c>
      <c r="BI130">
        <f t="shared" si="203"/>
        <v>2.8999999999999998E-3</v>
      </c>
      <c r="BJ130" s="473">
        <f t="shared" si="204"/>
        <v>26.995662804707514</v>
      </c>
      <c r="BK130" s="180">
        <f t="shared" si="205"/>
        <v>7.000000000000001E-3</v>
      </c>
      <c r="BL130" s="180">
        <f t="shared" si="206"/>
        <v>7.000000000000001E-3</v>
      </c>
      <c r="BM130" s="547"/>
      <c r="BO130" s="473">
        <f t="shared" si="207"/>
        <v>14.000000000000002</v>
      </c>
      <c r="BP130" s="547">
        <f t="shared" si="208"/>
        <v>9.4191079365079332E-4</v>
      </c>
      <c r="BQ130" s="547">
        <f t="shared" si="209"/>
        <v>2.3846640745883759E-4</v>
      </c>
      <c r="BR130" s="547">
        <f t="shared" si="210"/>
        <v>2.1375916838980039E-4</v>
      </c>
      <c r="BS130" s="547">
        <f t="shared" si="211"/>
        <v>1.1492622698952243E-3</v>
      </c>
      <c r="BT130" s="657">
        <f t="shared" si="212"/>
        <v>1.6105627705627706E-2</v>
      </c>
      <c r="BU130" s="473">
        <f t="shared" si="213"/>
        <v>18.649026345022364</v>
      </c>
      <c r="BV130" s="180">
        <f t="shared" si="214"/>
        <v>5.9644689149729875E-2</v>
      </c>
      <c r="BW130" s="5">
        <f t="shared" si="215"/>
        <v>0.42600000000000005</v>
      </c>
      <c r="BX130" s="180">
        <f t="shared" si="216"/>
        <v>0.87718451270587106</v>
      </c>
      <c r="BY130" s="5">
        <f t="shared" si="217"/>
        <v>87.71845127058711</v>
      </c>
      <c r="BZ130">
        <f t="shared" si="218"/>
        <v>20.000000000000004</v>
      </c>
      <c r="CB130" s="582">
        <f t="shared" si="219"/>
        <v>-50</v>
      </c>
      <c r="CC130">
        <f t="shared" si="220"/>
        <v>-50</v>
      </c>
    </row>
    <row r="131" spans="5:81" x14ac:dyDescent="0.25">
      <c r="E131" s="177">
        <v>21</v>
      </c>
      <c r="F131" s="224">
        <f t="shared" si="221"/>
        <v>2.1000000000000001E-2</v>
      </c>
      <c r="G131" s="224">
        <f t="shared" si="160"/>
        <v>2.1000000000000001E-2</v>
      </c>
      <c r="H131" s="224">
        <f t="shared" si="161"/>
        <v>0.1323</v>
      </c>
      <c r="I131" s="224">
        <f t="shared" si="162"/>
        <v>0.315</v>
      </c>
      <c r="J131" s="560">
        <f t="shared" si="163"/>
        <v>10</v>
      </c>
      <c r="K131" s="455">
        <f t="shared" si="164"/>
        <v>13.1</v>
      </c>
      <c r="L131" s="455">
        <f t="shared" si="165"/>
        <v>23.1</v>
      </c>
      <c r="M131" s="455"/>
      <c r="N131" s="224">
        <f t="shared" si="166"/>
        <v>0.5670995670995671</v>
      </c>
      <c r="O131" s="179">
        <f t="shared" si="167"/>
        <v>1.0944622279129324</v>
      </c>
      <c r="P131" s="179">
        <f t="shared" si="168"/>
        <v>2.6058624474117433</v>
      </c>
      <c r="Q131" s="224">
        <f t="shared" si="169"/>
        <v>0.17372416316078293</v>
      </c>
      <c r="R131" s="224">
        <f t="shared" si="170"/>
        <v>7.2964148527528819E-2</v>
      </c>
      <c r="S131" s="224">
        <f t="shared" si="171"/>
        <v>6.3</v>
      </c>
      <c r="T131" s="224">
        <f t="shared" si="172"/>
        <v>0.17527786259541986</v>
      </c>
      <c r="U131" s="224">
        <f t="shared" si="173"/>
        <v>0.96402824427480927</v>
      </c>
      <c r="V131" s="224">
        <f t="shared" si="174"/>
        <v>0.73589942311054146</v>
      </c>
      <c r="W131" s="204">
        <f t="shared" si="175"/>
        <v>350</v>
      </c>
      <c r="X131" s="455">
        <f t="shared" si="176"/>
        <v>350</v>
      </c>
      <c r="Z131" s="224">
        <f t="shared" si="177"/>
        <v>0.29459717771406085</v>
      </c>
      <c r="AA131" s="180">
        <f t="shared" si="178"/>
        <v>1.2368583797155226</v>
      </c>
      <c r="AB131" s="180">
        <f t="shared" si="179"/>
        <v>3.7720509310379111E-2</v>
      </c>
      <c r="AC131" s="180"/>
      <c r="AD131" s="180">
        <f t="shared" si="180"/>
        <v>1.217557251908397</v>
      </c>
      <c r="AE131" s="564">
        <f t="shared" si="181"/>
        <v>201.08096422008427</v>
      </c>
      <c r="AF131" s="547">
        <f t="shared" si="182"/>
        <v>3.6552440597785188E-2</v>
      </c>
      <c r="AH131" s="180">
        <f t="shared" si="183"/>
        <v>0.21557534013130369</v>
      </c>
      <c r="AI131" s="180">
        <f t="shared" si="184"/>
        <v>0.28999999999999998</v>
      </c>
      <c r="AJ131" s="180">
        <f t="shared" si="185"/>
        <v>1.1149034081257625</v>
      </c>
      <c r="AL131" s="564">
        <f t="shared" si="186"/>
        <v>21</v>
      </c>
      <c r="AM131" s="473">
        <f t="shared" si="187"/>
        <v>201.08096422008427</v>
      </c>
      <c r="AO131" s="473">
        <f t="shared" si="188"/>
        <v>21</v>
      </c>
      <c r="AP131" s="473">
        <f t="shared" si="189"/>
        <v>201.08096422008427</v>
      </c>
      <c r="AR131" s="5">
        <f t="shared" si="140"/>
        <v>4.9731211697666922</v>
      </c>
      <c r="AS131" s="5">
        <f t="shared" si="222"/>
        <v>1.5949999999999998</v>
      </c>
      <c r="AT131" s="5">
        <f t="shared" si="223"/>
        <v>3.3781211697666924</v>
      </c>
      <c r="AU131" s="180">
        <f t="shared" si="224"/>
        <v>0.32072413793103438</v>
      </c>
      <c r="AW131" s="5">
        <f t="shared" si="193"/>
        <v>0.53166666666666662</v>
      </c>
      <c r="AX131" s="5">
        <f t="shared" si="194"/>
        <v>0.22329999999999997</v>
      </c>
      <c r="AY131" s="5">
        <f t="shared" si="195"/>
        <v>4.138198432964197E-2</v>
      </c>
      <c r="AZ131" s="5"/>
      <c r="BA131" s="180">
        <f t="shared" si="196"/>
        <v>9.4820708005512497E-2</v>
      </c>
      <c r="BB131" s="180">
        <f t="shared" si="197"/>
        <v>8.1630302027405843E-2</v>
      </c>
      <c r="BC131" s="180">
        <f t="shared" si="198"/>
        <v>8.3478294813350229E-2</v>
      </c>
      <c r="BD131" s="180"/>
      <c r="BE131" s="547">
        <f t="shared" si="199"/>
        <v>3.1468383333333317E-3</v>
      </c>
      <c r="BF131" s="547">
        <f t="shared" si="200"/>
        <v>1.3470413793103445E-2</v>
      </c>
      <c r="BG131" s="547">
        <f t="shared" si="201"/>
        <v>2.5135120527510534E-3</v>
      </c>
      <c r="BH131" s="547">
        <f t="shared" si="202"/>
        <v>6.1696817657550512E-3</v>
      </c>
      <c r="BI131">
        <f t="shared" si="203"/>
        <v>2.8999999999999998E-3</v>
      </c>
      <c r="BJ131" s="473">
        <f t="shared" si="204"/>
        <v>28.200445944942878</v>
      </c>
      <c r="BK131" s="180">
        <f t="shared" si="205"/>
        <v>7.3499999999999998E-3</v>
      </c>
      <c r="BL131" s="180">
        <f t="shared" si="206"/>
        <v>7.3499999999999998E-3</v>
      </c>
      <c r="BM131" s="547"/>
      <c r="BO131" s="473">
        <f t="shared" si="207"/>
        <v>14.7</v>
      </c>
      <c r="BP131" s="547">
        <f t="shared" si="208"/>
        <v>9.890063333333329E-4</v>
      </c>
      <c r="BQ131" s="547">
        <f t="shared" si="209"/>
        <v>2.3322271731799246E-4</v>
      </c>
      <c r="BR131" s="547">
        <f t="shared" si="210"/>
        <v>2.0905877114833847E-4</v>
      </c>
      <c r="BS131" s="547">
        <f t="shared" si="211"/>
        <v>1.2983518371212453E-3</v>
      </c>
      <c r="BT131" s="657">
        <f t="shared" si="212"/>
        <v>1.6910909090909088E-2</v>
      </c>
      <c r="BU131" s="473">
        <f t="shared" si="213"/>
        <v>19.640548749829996</v>
      </c>
      <c r="BV131" s="180">
        <f t="shared" si="214"/>
        <v>6.2540994694772881E-2</v>
      </c>
      <c r="BW131" s="5">
        <f t="shared" si="215"/>
        <v>0.44730000000000003</v>
      </c>
      <c r="BX131" s="180">
        <f t="shared" si="216"/>
        <v>0.87733235391905984</v>
      </c>
      <c r="BY131" s="5">
        <f t="shared" si="217"/>
        <v>87.733235391905978</v>
      </c>
      <c r="BZ131">
        <f t="shared" si="218"/>
        <v>21</v>
      </c>
      <c r="CB131" s="582">
        <f t="shared" si="219"/>
        <v>-50</v>
      </c>
      <c r="CC131">
        <f t="shared" si="220"/>
        <v>-50</v>
      </c>
    </row>
    <row r="132" spans="5:81" x14ac:dyDescent="0.25">
      <c r="E132" s="177">
        <v>22</v>
      </c>
      <c r="F132" s="224">
        <f t="shared" si="221"/>
        <v>2.2000000000000002E-2</v>
      </c>
      <c r="G132" s="224">
        <f t="shared" si="160"/>
        <v>2.2000000000000002E-2</v>
      </c>
      <c r="H132" s="224">
        <f t="shared" si="161"/>
        <v>0.1386</v>
      </c>
      <c r="I132" s="224">
        <f t="shared" si="162"/>
        <v>0.33</v>
      </c>
      <c r="J132" s="560">
        <f t="shared" si="163"/>
        <v>10</v>
      </c>
      <c r="K132" s="455">
        <f t="shared" si="164"/>
        <v>13.1</v>
      </c>
      <c r="L132" s="455">
        <f t="shared" si="165"/>
        <v>23.1</v>
      </c>
      <c r="M132" s="455"/>
      <c r="N132" s="224">
        <f t="shared" si="166"/>
        <v>0.5670995670995671</v>
      </c>
      <c r="O132" s="179">
        <f t="shared" si="167"/>
        <v>1.0944622279129324</v>
      </c>
      <c r="P132" s="179">
        <f t="shared" si="168"/>
        <v>2.6058624474117433</v>
      </c>
      <c r="Q132" s="224">
        <f t="shared" si="169"/>
        <v>0.17372416316078293</v>
      </c>
      <c r="R132" s="224">
        <f t="shared" si="170"/>
        <v>7.2964148527528819E-2</v>
      </c>
      <c r="S132" s="224">
        <f t="shared" si="171"/>
        <v>6.3</v>
      </c>
      <c r="T132" s="224">
        <f t="shared" si="172"/>
        <v>0.18362442748091604</v>
      </c>
      <c r="U132" s="224">
        <f t="shared" si="173"/>
        <v>1.009934351145038</v>
      </c>
      <c r="V132" s="224">
        <f t="shared" si="174"/>
        <v>0.77094225278247197</v>
      </c>
      <c r="W132" s="204">
        <f t="shared" si="175"/>
        <v>350</v>
      </c>
      <c r="X132" s="455">
        <f t="shared" si="176"/>
        <v>350</v>
      </c>
      <c r="Z132" s="224">
        <f t="shared" si="177"/>
        <v>0.29459717771406085</v>
      </c>
      <c r="AA132" s="180">
        <f t="shared" si="178"/>
        <v>1.2368583797155226</v>
      </c>
      <c r="AB132" s="180">
        <f t="shared" si="179"/>
        <v>3.7720509310379111E-2</v>
      </c>
      <c r="AC132" s="180"/>
      <c r="AD132" s="180">
        <f t="shared" si="180"/>
        <v>1.217557251908397</v>
      </c>
      <c r="AE132" s="564">
        <f t="shared" si="181"/>
        <v>210.65624823056447</v>
      </c>
      <c r="AF132" s="547">
        <f t="shared" si="182"/>
        <v>3.6552440597785188E-2</v>
      </c>
      <c r="AH132" s="180">
        <f t="shared" si="183"/>
        <v>0.22064839515780371</v>
      </c>
      <c r="AI132" s="180">
        <f t="shared" si="184"/>
        <v>0.28999999999999998</v>
      </c>
      <c r="AJ132" s="180">
        <f t="shared" si="185"/>
        <v>1.120374998988894</v>
      </c>
      <c r="AL132" s="564">
        <f t="shared" si="186"/>
        <v>22.000000000000004</v>
      </c>
      <c r="AM132" s="473">
        <f t="shared" si="187"/>
        <v>210.65624823056447</v>
      </c>
      <c r="AO132" s="473">
        <f t="shared" si="188"/>
        <v>22.000000000000004</v>
      </c>
      <c r="AP132" s="473">
        <f t="shared" si="189"/>
        <v>210.65624823056447</v>
      </c>
      <c r="AR132" s="5">
        <f t="shared" si="140"/>
        <v>4.7470702075045708</v>
      </c>
      <c r="AS132" s="5">
        <f t="shared" si="222"/>
        <v>1.5949999999999998</v>
      </c>
      <c r="AT132" s="5">
        <f t="shared" si="223"/>
        <v>3.152070207504571</v>
      </c>
      <c r="AU132" s="180">
        <f t="shared" si="224"/>
        <v>0.33599671592775027</v>
      </c>
      <c r="AW132" s="5">
        <f t="shared" si="193"/>
        <v>0.55698412698412691</v>
      </c>
      <c r="AX132" s="5">
        <f t="shared" si="194"/>
        <v>0.23393333333333333</v>
      </c>
      <c r="AY132" s="5">
        <f t="shared" si="195"/>
        <v>4.0451567662975321E-2</v>
      </c>
      <c r="AZ132" s="5"/>
      <c r="BA132" s="180">
        <f t="shared" si="196"/>
        <v>9.7052088779726597E-2</v>
      </c>
      <c r="BB132" s="180">
        <f t="shared" si="197"/>
        <v>8.0707412861370037E-2</v>
      </c>
      <c r="BC132" s="180">
        <f t="shared" si="198"/>
        <v>8.2534512762212936E-2</v>
      </c>
      <c r="BD132" s="180"/>
      <c r="BE132" s="547">
        <f t="shared" si="199"/>
        <v>3.2966877777777766E-3</v>
      </c>
      <c r="BF132" s="547">
        <f t="shared" si="200"/>
        <v>1.4111862068965515E-2</v>
      </c>
      <c r="BG132" s="547">
        <f t="shared" si="201"/>
        <v>2.6332031028820559E-3</v>
      </c>
      <c r="BH132" s="547">
        <f t="shared" si="202"/>
        <v>6.463476135552911E-3</v>
      </c>
      <c r="BI132">
        <f t="shared" si="203"/>
        <v>2.8999999999999998E-3</v>
      </c>
      <c r="BJ132" s="473">
        <f t="shared" si="204"/>
        <v>29.405229085178259</v>
      </c>
      <c r="BK132" s="180">
        <f t="shared" si="205"/>
        <v>7.7000000000000002E-3</v>
      </c>
      <c r="BL132" s="180">
        <f t="shared" si="206"/>
        <v>7.7000000000000002E-3</v>
      </c>
      <c r="BM132" s="547"/>
      <c r="BO132" s="473">
        <f t="shared" si="207"/>
        <v>15.4</v>
      </c>
      <c r="BP132" s="547">
        <f t="shared" si="208"/>
        <v>1.0361018730158727E-3</v>
      </c>
      <c r="BQ132" s="547">
        <f t="shared" si="209"/>
        <v>2.2797902717714734E-4</v>
      </c>
      <c r="BR132" s="547">
        <f t="shared" si="210"/>
        <v>2.043583739068767E-4</v>
      </c>
      <c r="BS132" s="547">
        <f t="shared" si="211"/>
        <v>1.4584812894164114E-3</v>
      </c>
      <c r="BT132" s="657">
        <f t="shared" si="212"/>
        <v>1.7716190476190472E-2</v>
      </c>
      <c r="BU132" s="473">
        <f t="shared" si="213"/>
        <v>20.643111039706781</v>
      </c>
      <c r="BV132" s="180">
        <f t="shared" si="214"/>
        <v>6.544834012488504E-2</v>
      </c>
      <c r="BW132" s="5">
        <f t="shared" si="215"/>
        <v>0.46860000000000002</v>
      </c>
      <c r="BX132" s="180">
        <f t="shared" si="216"/>
        <v>0.87744865921766524</v>
      </c>
      <c r="BY132" s="5">
        <f t="shared" si="217"/>
        <v>87.744865921766518</v>
      </c>
      <c r="BZ132">
        <f t="shared" si="218"/>
        <v>22</v>
      </c>
      <c r="CB132" s="582">
        <f t="shared" si="219"/>
        <v>-50</v>
      </c>
      <c r="CC132">
        <f t="shared" si="220"/>
        <v>-50</v>
      </c>
    </row>
    <row r="133" spans="5:81" x14ac:dyDescent="0.25">
      <c r="E133" s="177">
        <v>23</v>
      </c>
      <c r="F133" s="224">
        <f t="shared" si="221"/>
        <v>2.3000000000000003E-2</v>
      </c>
      <c r="G133" s="224">
        <f t="shared" si="160"/>
        <v>2.3000000000000003E-2</v>
      </c>
      <c r="H133" s="224">
        <f t="shared" si="161"/>
        <v>0.14490000000000003</v>
      </c>
      <c r="I133" s="224">
        <f t="shared" si="162"/>
        <v>0.34500000000000003</v>
      </c>
      <c r="J133" s="560">
        <f t="shared" si="163"/>
        <v>10</v>
      </c>
      <c r="K133" s="455">
        <f t="shared" si="164"/>
        <v>13.1</v>
      </c>
      <c r="L133" s="455">
        <f t="shared" si="165"/>
        <v>23.1</v>
      </c>
      <c r="M133" s="455"/>
      <c r="N133" s="224">
        <f t="shared" si="166"/>
        <v>0.5670995670995671</v>
      </c>
      <c r="O133" s="179">
        <f t="shared" si="167"/>
        <v>1.0944622279129324</v>
      </c>
      <c r="P133" s="179">
        <f t="shared" si="168"/>
        <v>2.6058624474117433</v>
      </c>
      <c r="Q133" s="224">
        <f t="shared" si="169"/>
        <v>0.17372416316078293</v>
      </c>
      <c r="R133" s="224">
        <f t="shared" si="170"/>
        <v>7.2964148527528819E-2</v>
      </c>
      <c r="S133" s="224">
        <f t="shared" si="171"/>
        <v>6.3</v>
      </c>
      <c r="T133" s="224">
        <f t="shared" si="172"/>
        <v>0.19197099236641224</v>
      </c>
      <c r="U133" s="224">
        <f t="shared" si="173"/>
        <v>1.0558404580152674</v>
      </c>
      <c r="V133" s="224">
        <f t="shared" si="174"/>
        <v>0.8059850824544027</v>
      </c>
      <c r="W133" s="204">
        <f t="shared" si="175"/>
        <v>350</v>
      </c>
      <c r="X133" s="455">
        <f t="shared" si="176"/>
        <v>350</v>
      </c>
      <c r="Z133" s="224">
        <f t="shared" si="177"/>
        <v>0.29459717771406085</v>
      </c>
      <c r="AA133" s="180">
        <f t="shared" si="178"/>
        <v>1.2368583797155226</v>
      </c>
      <c r="AB133" s="180">
        <f t="shared" si="179"/>
        <v>3.7720509310379111E-2</v>
      </c>
      <c r="AC133" s="180"/>
      <c r="AD133" s="180">
        <f t="shared" si="180"/>
        <v>1.217557251908397</v>
      </c>
      <c r="AE133" s="564">
        <f t="shared" si="181"/>
        <v>220.23153224104468</v>
      </c>
      <c r="AF133" s="547">
        <f t="shared" si="182"/>
        <v>3.6552440597785188E-2</v>
      </c>
      <c r="AH133" s="180">
        <f t="shared" si="183"/>
        <v>0.2256074052390597</v>
      </c>
      <c r="AI133" s="180">
        <f t="shared" si="184"/>
        <v>0.28999999999999998</v>
      </c>
      <c r="AJ133" s="180">
        <f t="shared" si="185"/>
        <v>1.1258465898520256</v>
      </c>
      <c r="AL133" s="564">
        <f t="shared" si="186"/>
        <v>23.000000000000004</v>
      </c>
      <c r="AM133" s="473">
        <f t="shared" si="187"/>
        <v>220.23153224104468</v>
      </c>
      <c r="AO133" s="473">
        <f t="shared" si="188"/>
        <v>23.000000000000004</v>
      </c>
      <c r="AP133" s="473">
        <f t="shared" si="189"/>
        <v>220.23153224104468</v>
      </c>
      <c r="AR133" s="5">
        <f t="shared" si="140"/>
        <v>4.5406758506565454</v>
      </c>
      <c r="AS133" s="5">
        <f t="shared" si="222"/>
        <v>1.5949999999999998</v>
      </c>
      <c r="AT133" s="5">
        <f t="shared" si="223"/>
        <v>2.9456758506565457</v>
      </c>
      <c r="AU133" s="180">
        <f t="shared" si="224"/>
        <v>0.35126929392446621</v>
      </c>
      <c r="AW133" s="5">
        <f t="shared" si="193"/>
        <v>0.58230158730158732</v>
      </c>
      <c r="AX133" s="5">
        <f t="shared" si="194"/>
        <v>0.24456666666666668</v>
      </c>
      <c r="AY133" s="5">
        <f t="shared" si="195"/>
        <v>3.9521150996308659E-2</v>
      </c>
      <c r="AZ133" s="5"/>
      <c r="BA133" s="180">
        <f t="shared" si="196"/>
        <v>9.923330694050865E-2</v>
      </c>
      <c r="BB133" s="180">
        <f t="shared" si="197"/>
        <v>7.9773847672440751E-2</v>
      </c>
      <c r="BC133" s="180">
        <f t="shared" si="198"/>
        <v>8.157981299835862E-2</v>
      </c>
      <c r="BD133" s="180"/>
      <c r="BE133" s="547">
        <f t="shared" si="199"/>
        <v>3.4465372222222206E-3</v>
      </c>
      <c r="BF133" s="547">
        <f t="shared" si="200"/>
        <v>1.4753310344827584E-2</v>
      </c>
      <c r="BG133" s="547">
        <f t="shared" si="201"/>
        <v>2.7528941530130585E-3</v>
      </c>
      <c r="BH133" s="547">
        <f t="shared" si="202"/>
        <v>6.75727050535077E-3</v>
      </c>
      <c r="BI133">
        <f t="shared" si="203"/>
        <v>2.8999999999999998E-3</v>
      </c>
      <c r="BJ133" s="473">
        <f t="shared" si="204"/>
        <v>30.610012225413634</v>
      </c>
      <c r="BK133" s="180">
        <f t="shared" si="205"/>
        <v>8.0499999999999999E-3</v>
      </c>
      <c r="BL133" s="180">
        <f t="shared" si="206"/>
        <v>8.0499999999999999E-3</v>
      </c>
      <c r="BM133" s="547"/>
      <c r="BO133" s="473">
        <f t="shared" si="207"/>
        <v>16.100000000000001</v>
      </c>
      <c r="BP133" s="547">
        <f t="shared" si="208"/>
        <v>1.0831974126984123E-3</v>
      </c>
      <c r="BQ133" s="547">
        <f t="shared" si="209"/>
        <v>2.2273533703630235E-4</v>
      </c>
      <c r="BR133" s="547">
        <f t="shared" si="210"/>
        <v>1.9965797666541486E-4</v>
      </c>
      <c r="BS133" s="547">
        <f t="shared" si="211"/>
        <v>1.6299104717803705E-3</v>
      </c>
      <c r="BT133" s="657">
        <f t="shared" si="212"/>
        <v>1.852147186147186E-2</v>
      </c>
      <c r="BU133" s="473">
        <f t="shared" si="213"/>
        <v>21.656973059652358</v>
      </c>
      <c r="BV133" s="180">
        <f t="shared" si="214"/>
        <v>6.836698528506599E-2</v>
      </c>
      <c r="BW133" s="5">
        <f t="shared" si="215"/>
        <v>0.48990000000000006</v>
      </c>
      <c r="BX133" s="180">
        <f t="shared" si="216"/>
        <v>0.87753711559683945</v>
      </c>
      <c r="BY133" s="5">
        <f t="shared" si="217"/>
        <v>87.75371155968395</v>
      </c>
      <c r="BZ133">
        <f t="shared" si="218"/>
        <v>23</v>
      </c>
      <c r="CB133" s="582">
        <f t="shared" si="219"/>
        <v>-50</v>
      </c>
      <c r="CC133">
        <f t="shared" si="220"/>
        <v>-50</v>
      </c>
    </row>
    <row r="134" spans="5:81" x14ac:dyDescent="0.25">
      <c r="E134" s="177">
        <v>24</v>
      </c>
      <c r="F134" s="224">
        <f t="shared" si="221"/>
        <v>2.4E-2</v>
      </c>
      <c r="G134" s="224">
        <f t="shared" si="160"/>
        <v>2.4E-2</v>
      </c>
      <c r="H134" s="224">
        <f t="shared" si="161"/>
        <v>0.1512</v>
      </c>
      <c r="I134" s="224">
        <f t="shared" si="162"/>
        <v>0.36</v>
      </c>
      <c r="J134" s="560">
        <f t="shared" si="163"/>
        <v>10</v>
      </c>
      <c r="K134" s="455">
        <f t="shared" si="164"/>
        <v>13.1</v>
      </c>
      <c r="L134" s="455">
        <f t="shared" si="165"/>
        <v>23.1</v>
      </c>
      <c r="M134" s="455"/>
      <c r="N134" s="224">
        <f t="shared" si="166"/>
        <v>0.5670995670995671</v>
      </c>
      <c r="O134" s="179">
        <f t="shared" si="167"/>
        <v>1.0944622279129324</v>
      </c>
      <c r="P134" s="179">
        <f t="shared" si="168"/>
        <v>2.6058624474117433</v>
      </c>
      <c r="Q134" s="224">
        <f t="shared" si="169"/>
        <v>0.17372416316078293</v>
      </c>
      <c r="R134" s="224">
        <f t="shared" si="170"/>
        <v>7.2964148527528819E-2</v>
      </c>
      <c r="S134" s="224">
        <f t="shared" si="171"/>
        <v>6.3</v>
      </c>
      <c r="T134" s="224">
        <f t="shared" si="172"/>
        <v>0.20031755725190839</v>
      </c>
      <c r="U134" s="224">
        <f t="shared" si="173"/>
        <v>1.1017465648854963</v>
      </c>
      <c r="V134" s="224">
        <f t="shared" si="174"/>
        <v>0.84102791212633299</v>
      </c>
      <c r="W134" s="204">
        <f t="shared" si="175"/>
        <v>350</v>
      </c>
      <c r="X134" s="455">
        <f t="shared" si="176"/>
        <v>350</v>
      </c>
      <c r="Z134" s="224">
        <f t="shared" si="177"/>
        <v>0.29459717771406085</v>
      </c>
      <c r="AA134" s="180">
        <f t="shared" si="178"/>
        <v>1.2368583797155226</v>
      </c>
      <c r="AB134" s="180">
        <f t="shared" si="179"/>
        <v>3.7720509310379111E-2</v>
      </c>
      <c r="AC134" s="180"/>
      <c r="AD134" s="180">
        <f t="shared" si="180"/>
        <v>1.217557251908397</v>
      </c>
      <c r="AE134" s="564">
        <f t="shared" si="181"/>
        <v>229.80681625152485</v>
      </c>
      <c r="AF134" s="547">
        <f t="shared" si="182"/>
        <v>3.6552440597785188E-2</v>
      </c>
      <c r="AH134" s="180">
        <f t="shared" si="183"/>
        <v>0.23045973251674209</v>
      </c>
      <c r="AI134" s="180">
        <f t="shared" si="184"/>
        <v>0.28999999999999998</v>
      </c>
      <c r="AJ134" s="180">
        <f t="shared" si="185"/>
        <v>1.1313181807151571</v>
      </c>
      <c r="AL134" s="564">
        <f t="shared" si="186"/>
        <v>24</v>
      </c>
      <c r="AM134" s="473">
        <f t="shared" si="187"/>
        <v>229.80681625152485</v>
      </c>
      <c r="AO134" s="473">
        <f t="shared" si="188"/>
        <v>24</v>
      </c>
      <c r="AP134" s="473">
        <f t="shared" si="189"/>
        <v>229.80681625152485</v>
      </c>
      <c r="AR134" s="5">
        <f t="shared" ref="AR134:AR197" si="225">1/AM134*1000</f>
        <v>4.3514810235458574</v>
      </c>
      <c r="AS134" s="5">
        <f t="shared" si="222"/>
        <v>1.5949999999999998</v>
      </c>
      <c r="AT134" s="5">
        <f t="shared" si="223"/>
        <v>2.7564810235458577</v>
      </c>
      <c r="AU134" s="180">
        <f t="shared" si="224"/>
        <v>0.36654187192118204</v>
      </c>
      <c r="AW134" s="5">
        <f t="shared" si="193"/>
        <v>0.6076190476190475</v>
      </c>
      <c r="AX134" s="5">
        <f t="shared" si="194"/>
        <v>0.25519999999999998</v>
      </c>
      <c r="AY134" s="5">
        <f t="shared" si="195"/>
        <v>3.859073432964201E-2</v>
      </c>
      <c r="AZ134" s="5"/>
      <c r="BA134" s="180">
        <f t="shared" si="196"/>
        <v>0.10136760072227452</v>
      </c>
      <c r="BB134" s="180">
        <f t="shared" si="197"/>
        <v>7.8829227156911305E-2</v>
      </c>
      <c r="BC134" s="180">
        <f t="shared" si="198"/>
        <v>8.0613807631189541E-2</v>
      </c>
      <c r="BD134" s="180"/>
      <c r="BE134" s="547">
        <f t="shared" si="199"/>
        <v>3.5963866666666642E-3</v>
      </c>
      <c r="BF134" s="547">
        <f t="shared" si="200"/>
        <v>1.5394758620689649E-2</v>
      </c>
      <c r="BG134" s="547">
        <f t="shared" si="201"/>
        <v>2.8725852031440606E-3</v>
      </c>
      <c r="BH134" s="547">
        <f t="shared" si="202"/>
        <v>7.0510648751486299E-3</v>
      </c>
      <c r="BI134">
        <f t="shared" si="203"/>
        <v>2.8999999999999998E-3</v>
      </c>
      <c r="BJ134" s="473">
        <f t="shared" si="204"/>
        <v>31.814795365649005</v>
      </c>
      <c r="BK134" s="180">
        <f t="shared" si="205"/>
        <v>8.3999999999999995E-3</v>
      </c>
      <c r="BL134" s="180">
        <f t="shared" si="206"/>
        <v>8.3999999999999995E-3</v>
      </c>
      <c r="BM134" s="547"/>
      <c r="BO134" s="473">
        <f t="shared" si="207"/>
        <v>16.8</v>
      </c>
      <c r="BP134" s="547">
        <f t="shared" si="208"/>
        <v>1.1302929523809516E-3</v>
      </c>
      <c r="BQ134" s="547">
        <f t="shared" si="209"/>
        <v>2.1749164689545734E-4</v>
      </c>
      <c r="BR134" s="547">
        <f t="shared" si="210"/>
        <v>1.9495757942395299E-4</v>
      </c>
      <c r="BS134" s="547">
        <f t="shared" si="211"/>
        <v>1.812893384768274E-3</v>
      </c>
      <c r="BT134" s="657">
        <f t="shared" si="212"/>
        <v>1.9326753246753241E-2</v>
      </c>
      <c r="BU134" s="473">
        <f t="shared" si="213"/>
        <v>22.682388810221877</v>
      </c>
      <c r="BV134" s="180">
        <f t="shared" si="214"/>
        <v>7.1297184175870873E-2</v>
      </c>
      <c r="BW134" s="5">
        <f t="shared" si="215"/>
        <v>0.51119999999999999</v>
      </c>
      <c r="BX134" s="180">
        <f t="shared" si="216"/>
        <v>0.87760080887473546</v>
      </c>
      <c r="BY134" s="5">
        <f t="shared" si="217"/>
        <v>87.760080887473549</v>
      </c>
      <c r="BZ134">
        <f t="shared" si="218"/>
        <v>24</v>
      </c>
      <c r="CB134" s="582">
        <f t="shared" si="219"/>
        <v>-50</v>
      </c>
      <c r="CC134">
        <f t="shared" si="220"/>
        <v>-50</v>
      </c>
    </row>
    <row r="135" spans="5:81" x14ac:dyDescent="0.25">
      <c r="E135" s="177">
        <v>25</v>
      </c>
      <c r="F135" s="224">
        <f t="shared" si="221"/>
        <v>2.5000000000000001E-2</v>
      </c>
      <c r="G135" s="224">
        <f t="shared" si="160"/>
        <v>2.5000000000000001E-2</v>
      </c>
      <c r="H135" s="224">
        <f t="shared" si="161"/>
        <v>0.1575</v>
      </c>
      <c r="I135" s="224">
        <f t="shared" si="162"/>
        <v>0.375</v>
      </c>
      <c r="J135" s="560">
        <f t="shared" si="163"/>
        <v>10</v>
      </c>
      <c r="K135" s="455">
        <f t="shared" si="164"/>
        <v>13.1</v>
      </c>
      <c r="L135" s="455">
        <f t="shared" si="165"/>
        <v>23.1</v>
      </c>
      <c r="M135" s="455"/>
      <c r="N135" s="224">
        <f t="shared" si="166"/>
        <v>0.5670995670995671</v>
      </c>
      <c r="O135" s="179">
        <f t="shared" si="167"/>
        <v>1.0944622279129324</v>
      </c>
      <c r="P135" s="179">
        <f t="shared" si="168"/>
        <v>2.6058624474117433</v>
      </c>
      <c r="Q135" s="224">
        <f t="shared" si="169"/>
        <v>0.17372416316078293</v>
      </c>
      <c r="R135" s="224">
        <f t="shared" si="170"/>
        <v>7.2964148527528819E-2</v>
      </c>
      <c r="S135" s="224">
        <f t="shared" si="171"/>
        <v>6.3</v>
      </c>
      <c r="T135" s="224">
        <f t="shared" si="172"/>
        <v>0.20866412213740457</v>
      </c>
      <c r="U135" s="224">
        <f t="shared" si="173"/>
        <v>1.1476526717557252</v>
      </c>
      <c r="V135" s="224">
        <f t="shared" si="174"/>
        <v>0.8760707417982635</v>
      </c>
      <c r="W135" s="204">
        <f t="shared" si="175"/>
        <v>350</v>
      </c>
      <c r="X135" s="455">
        <f t="shared" si="176"/>
        <v>350</v>
      </c>
      <c r="Z135" s="224">
        <f t="shared" si="177"/>
        <v>0.29459717771406085</v>
      </c>
      <c r="AA135" s="180">
        <f t="shared" si="178"/>
        <v>1.2368583797155226</v>
      </c>
      <c r="AB135" s="180">
        <f t="shared" si="179"/>
        <v>3.7720509310379111E-2</v>
      </c>
      <c r="AC135" s="180"/>
      <c r="AD135" s="180">
        <f t="shared" si="180"/>
        <v>1.217557251908397</v>
      </c>
      <c r="AE135" s="564">
        <f t="shared" si="181"/>
        <v>239.38210026200508</v>
      </c>
      <c r="AF135" s="547">
        <f t="shared" si="182"/>
        <v>3.6552440597785188E-2</v>
      </c>
      <c r="AH135" s="180">
        <f t="shared" si="183"/>
        <v>0.23521197955179776</v>
      </c>
      <c r="AI135" s="180">
        <f t="shared" si="184"/>
        <v>0.28999999999999998</v>
      </c>
      <c r="AJ135" s="180">
        <f t="shared" si="185"/>
        <v>1.1367897715782886</v>
      </c>
      <c r="AL135" s="564">
        <f t="shared" si="186"/>
        <v>25</v>
      </c>
      <c r="AM135" s="473">
        <f t="shared" si="187"/>
        <v>239.38210026200508</v>
      </c>
      <c r="AO135" s="473">
        <f t="shared" si="188"/>
        <v>25</v>
      </c>
      <c r="AP135" s="473">
        <f t="shared" si="189"/>
        <v>239.38210026200508</v>
      </c>
      <c r="AR135" s="5">
        <f t="shared" si="225"/>
        <v>4.1774217826040223</v>
      </c>
      <c r="AS135" s="5">
        <f t="shared" si="222"/>
        <v>1.5949999999999998</v>
      </c>
      <c r="AT135" s="5">
        <f t="shared" si="223"/>
        <v>2.5824217826040226</v>
      </c>
      <c r="AU135" s="180">
        <f t="shared" si="224"/>
        <v>0.38181444991789804</v>
      </c>
      <c r="AW135" s="5">
        <f t="shared" si="193"/>
        <v>0.6329365079365078</v>
      </c>
      <c r="AX135" s="5">
        <f t="shared" si="194"/>
        <v>0.26583333333333331</v>
      </c>
      <c r="AY135" s="5">
        <f t="shared" si="195"/>
        <v>3.7660317662975319E-2</v>
      </c>
      <c r="AZ135" s="5"/>
      <c r="BA135" s="180">
        <f t="shared" si="196"/>
        <v>0.10345787425823005</v>
      </c>
      <c r="BB135" s="180">
        <f t="shared" si="197"/>
        <v>7.7873149004300979E-2</v>
      </c>
      <c r="BC135" s="180">
        <f t="shared" si="198"/>
        <v>7.963608524249359E-2</v>
      </c>
      <c r="BD135" s="180"/>
      <c r="BE135" s="547">
        <f t="shared" si="199"/>
        <v>3.746236111111109E-3</v>
      </c>
      <c r="BF135" s="547">
        <f t="shared" si="200"/>
        <v>1.6036206896551723E-2</v>
      </c>
      <c r="BG135" s="547">
        <f t="shared" si="201"/>
        <v>2.9922762532750631E-3</v>
      </c>
      <c r="BH135" s="547">
        <f t="shared" si="202"/>
        <v>7.3448592449464906E-3</v>
      </c>
      <c r="BI135">
        <f t="shared" si="203"/>
        <v>2.8999999999999998E-3</v>
      </c>
      <c r="BJ135" s="473">
        <f t="shared" si="204"/>
        <v>33.019578505884382</v>
      </c>
      <c r="BK135" s="180">
        <f t="shared" si="205"/>
        <v>8.7499999999999991E-3</v>
      </c>
      <c r="BL135" s="180">
        <f t="shared" si="206"/>
        <v>8.7499999999999991E-3</v>
      </c>
      <c r="BM135" s="547"/>
      <c r="BO135" s="473">
        <f t="shared" si="207"/>
        <v>17.499999999999996</v>
      </c>
      <c r="BP135" s="547">
        <f t="shared" si="208"/>
        <v>1.1773884920634914E-3</v>
      </c>
      <c r="BQ135" s="547">
        <f t="shared" si="209"/>
        <v>2.1224795675461221E-4</v>
      </c>
      <c r="BR135" s="547">
        <f t="shared" si="210"/>
        <v>1.9025718218249114E-4</v>
      </c>
      <c r="BS135" s="547">
        <f t="shared" si="211"/>
        <v>2.0076785620792457E-3</v>
      </c>
      <c r="BT135" s="657">
        <f t="shared" si="212"/>
        <v>2.013203463203463E-2</v>
      </c>
      <c r="BU135" s="473">
        <f t="shared" si="213"/>
        <v>23.719606825114472</v>
      </c>
      <c r="BV135" s="180">
        <f t="shared" si="214"/>
        <v>7.4239185330998853E-2</v>
      </c>
      <c r="BW135" s="5">
        <f t="shared" si="215"/>
        <v>0.53249999999999997</v>
      </c>
      <c r="BX135" s="180">
        <f t="shared" si="216"/>
        <v>0.87764234266409114</v>
      </c>
      <c r="BY135" s="5">
        <f t="shared" si="217"/>
        <v>87.764234266409119</v>
      </c>
      <c r="BZ135">
        <f t="shared" si="218"/>
        <v>25</v>
      </c>
      <c r="CB135" s="582">
        <f t="shared" si="219"/>
        <v>-50</v>
      </c>
      <c r="CC135">
        <f t="shared" si="220"/>
        <v>-50</v>
      </c>
    </row>
    <row r="136" spans="5:81" x14ac:dyDescent="0.25">
      <c r="E136" s="177">
        <v>26</v>
      </c>
      <c r="F136" s="224">
        <f t="shared" si="221"/>
        <v>2.6000000000000002E-2</v>
      </c>
      <c r="G136" s="224">
        <f t="shared" si="160"/>
        <v>2.6000000000000002E-2</v>
      </c>
      <c r="H136" s="224">
        <f t="shared" si="161"/>
        <v>0.1638</v>
      </c>
      <c r="I136" s="224">
        <f t="shared" si="162"/>
        <v>0.39</v>
      </c>
      <c r="J136" s="560">
        <f t="shared" si="163"/>
        <v>10</v>
      </c>
      <c r="K136" s="455">
        <f t="shared" si="164"/>
        <v>13.1</v>
      </c>
      <c r="L136" s="455">
        <f t="shared" si="165"/>
        <v>23.1</v>
      </c>
      <c r="M136" s="455"/>
      <c r="N136" s="224">
        <f t="shared" si="166"/>
        <v>0.5670995670995671</v>
      </c>
      <c r="O136" s="179">
        <f t="shared" si="167"/>
        <v>1.0944622279129324</v>
      </c>
      <c r="P136" s="179">
        <f t="shared" si="168"/>
        <v>2.6058624474117433</v>
      </c>
      <c r="Q136" s="224">
        <f t="shared" si="169"/>
        <v>0.17372416316078293</v>
      </c>
      <c r="R136" s="224">
        <f t="shared" si="170"/>
        <v>7.2964148527528819E-2</v>
      </c>
      <c r="S136" s="224">
        <f t="shared" si="171"/>
        <v>6.3</v>
      </c>
      <c r="T136" s="224">
        <f t="shared" si="172"/>
        <v>0.2170106870229008</v>
      </c>
      <c r="U136" s="224">
        <f t="shared" si="173"/>
        <v>1.1935587786259545</v>
      </c>
      <c r="V136" s="224">
        <f t="shared" si="174"/>
        <v>0.91111357147019423</v>
      </c>
      <c r="W136" s="204">
        <f t="shared" si="175"/>
        <v>350</v>
      </c>
      <c r="X136" s="455">
        <f t="shared" si="176"/>
        <v>350</v>
      </c>
      <c r="Z136" s="224">
        <f t="shared" si="177"/>
        <v>0.29459717771406085</v>
      </c>
      <c r="AA136" s="180">
        <f t="shared" si="178"/>
        <v>1.2368583797155226</v>
      </c>
      <c r="AB136" s="180">
        <f t="shared" si="179"/>
        <v>3.7720509310379111E-2</v>
      </c>
      <c r="AC136" s="180"/>
      <c r="AD136" s="180">
        <f t="shared" si="180"/>
        <v>1.217557251908397</v>
      </c>
      <c r="AE136" s="564">
        <f t="shared" si="181"/>
        <v>248.95738427248531</v>
      </c>
      <c r="AF136" s="547">
        <f t="shared" si="182"/>
        <v>3.6552440597785188E-2</v>
      </c>
      <c r="AH136" s="180">
        <f t="shared" si="183"/>
        <v>0.23987009471308079</v>
      </c>
      <c r="AI136" s="180">
        <f t="shared" si="184"/>
        <v>0.28999999999999998</v>
      </c>
      <c r="AJ136" s="180">
        <f t="shared" si="185"/>
        <v>1.1422613624414202</v>
      </c>
      <c r="AL136" s="564">
        <f t="shared" si="186"/>
        <v>26.000000000000004</v>
      </c>
      <c r="AM136" s="473">
        <f t="shared" si="187"/>
        <v>248.95738427248531</v>
      </c>
      <c r="AO136" s="473">
        <f t="shared" si="188"/>
        <v>26.000000000000004</v>
      </c>
      <c r="AP136" s="473">
        <f t="shared" si="189"/>
        <v>248.95738427248531</v>
      </c>
      <c r="AR136" s="5">
        <f t="shared" si="225"/>
        <v>4.0167517140423286</v>
      </c>
      <c r="AS136" s="5">
        <f t="shared" si="222"/>
        <v>1.5949999999999998</v>
      </c>
      <c r="AT136" s="5">
        <f t="shared" si="223"/>
        <v>2.4217517140423288</v>
      </c>
      <c r="AU136" s="180">
        <f t="shared" si="224"/>
        <v>0.39708702791461398</v>
      </c>
      <c r="AW136" s="5">
        <f t="shared" si="193"/>
        <v>0.6582539682539682</v>
      </c>
      <c r="AX136" s="5">
        <f t="shared" si="194"/>
        <v>0.27646666666666664</v>
      </c>
      <c r="AY136" s="5">
        <f t="shared" si="195"/>
        <v>3.672990099630865E-2</v>
      </c>
      <c r="AZ136" s="5"/>
      <c r="BA136" s="180">
        <f t="shared" si="196"/>
        <v>0.10550674393550874</v>
      </c>
      <c r="BB136" s="180">
        <f t="shared" si="197"/>
        <v>7.6905185894946021E-2</v>
      </c>
      <c r="BC136" s="180">
        <f t="shared" si="198"/>
        <v>7.8646208838703588E-2</v>
      </c>
      <c r="BD136" s="180"/>
      <c r="BE136" s="547">
        <f t="shared" si="199"/>
        <v>3.896085555555553E-3</v>
      </c>
      <c r="BF136" s="547">
        <f t="shared" si="200"/>
        <v>1.6677655172413791E-2</v>
      </c>
      <c r="BG136" s="547">
        <f t="shared" si="201"/>
        <v>3.1119673034060665E-3</v>
      </c>
      <c r="BH136" s="547">
        <f t="shared" si="202"/>
        <v>7.6386536147443514E-3</v>
      </c>
      <c r="BI136">
        <f t="shared" si="203"/>
        <v>2.8999999999999998E-3</v>
      </c>
      <c r="BJ136" s="473">
        <f t="shared" si="204"/>
        <v>34.22436164611976</v>
      </c>
      <c r="BK136" s="180">
        <f t="shared" si="205"/>
        <v>9.1000000000000004E-3</v>
      </c>
      <c r="BL136" s="180">
        <f t="shared" si="206"/>
        <v>9.1000000000000004E-3</v>
      </c>
      <c r="BM136" s="547"/>
      <c r="BO136" s="473">
        <f t="shared" si="207"/>
        <v>18.2</v>
      </c>
      <c r="BP136" s="547">
        <f t="shared" si="208"/>
        <v>1.224484031746031E-3</v>
      </c>
      <c r="BQ136" s="547">
        <f t="shared" si="209"/>
        <v>2.0700426661376717E-4</v>
      </c>
      <c r="BR136" s="547">
        <f t="shared" si="210"/>
        <v>1.8555678494102933E-4</v>
      </c>
      <c r="BS136" s="547">
        <f t="shared" si="211"/>
        <v>2.2145094091466401E-3</v>
      </c>
      <c r="BT136" s="657">
        <f t="shared" si="212"/>
        <v>2.0937316017316018E-2</v>
      </c>
      <c r="BU136" s="473">
        <f t="shared" si="213"/>
        <v>24.768870509763488</v>
      </c>
      <c r="BV136" s="180">
        <f t="shared" si="214"/>
        <v>7.7193232155883251E-2</v>
      </c>
      <c r="BW136" s="5">
        <f t="shared" si="215"/>
        <v>0.55380000000000007</v>
      </c>
      <c r="BX136" s="180">
        <f t="shared" si="216"/>
        <v>0.87766393009931187</v>
      </c>
      <c r="BY136" s="5">
        <f t="shared" si="217"/>
        <v>87.766393009931193</v>
      </c>
      <c r="BZ136">
        <f t="shared" si="218"/>
        <v>26</v>
      </c>
      <c r="CB136" s="582">
        <f t="shared" si="219"/>
        <v>-50</v>
      </c>
      <c r="CC136">
        <f t="shared" si="220"/>
        <v>-50</v>
      </c>
    </row>
    <row r="137" spans="5:81" x14ac:dyDescent="0.25">
      <c r="E137" s="177">
        <v>27</v>
      </c>
      <c r="F137" s="224">
        <f t="shared" si="221"/>
        <v>2.7000000000000003E-2</v>
      </c>
      <c r="G137" s="224">
        <f t="shared" si="160"/>
        <v>2.7000000000000003E-2</v>
      </c>
      <c r="H137" s="224">
        <f t="shared" si="161"/>
        <v>0.17010000000000003</v>
      </c>
      <c r="I137" s="224">
        <f t="shared" si="162"/>
        <v>0.40500000000000003</v>
      </c>
      <c r="J137" s="560">
        <f t="shared" si="163"/>
        <v>10</v>
      </c>
      <c r="K137" s="455">
        <f t="shared" si="164"/>
        <v>13.1</v>
      </c>
      <c r="L137" s="455">
        <f t="shared" si="165"/>
        <v>23.1</v>
      </c>
      <c r="M137" s="455"/>
      <c r="N137" s="224">
        <f t="shared" si="166"/>
        <v>0.5670995670995671</v>
      </c>
      <c r="O137" s="179">
        <f t="shared" si="167"/>
        <v>1.0944622279129324</v>
      </c>
      <c r="P137" s="179">
        <f t="shared" si="168"/>
        <v>2.6058624474117433</v>
      </c>
      <c r="Q137" s="224">
        <f t="shared" si="169"/>
        <v>0.17372416316078293</v>
      </c>
      <c r="R137" s="224">
        <f t="shared" si="170"/>
        <v>7.2964148527528819E-2</v>
      </c>
      <c r="S137" s="224">
        <f t="shared" si="171"/>
        <v>6.3</v>
      </c>
      <c r="T137" s="224">
        <f t="shared" si="172"/>
        <v>0.22535725190839698</v>
      </c>
      <c r="U137" s="224">
        <f t="shared" si="173"/>
        <v>1.2394648854961834</v>
      </c>
      <c r="V137" s="224">
        <f t="shared" si="174"/>
        <v>0.94615640114212474</v>
      </c>
      <c r="W137" s="204">
        <f t="shared" si="175"/>
        <v>350</v>
      </c>
      <c r="X137" s="455">
        <f t="shared" si="176"/>
        <v>350</v>
      </c>
      <c r="Z137" s="224">
        <f t="shared" si="177"/>
        <v>0.29459717771406085</v>
      </c>
      <c r="AA137" s="180">
        <f t="shared" si="178"/>
        <v>1.2368583797155226</v>
      </c>
      <c r="AB137" s="180">
        <f t="shared" si="179"/>
        <v>3.7720509310379111E-2</v>
      </c>
      <c r="AC137" s="180"/>
      <c r="AD137" s="180">
        <f t="shared" si="180"/>
        <v>1.217557251908397</v>
      </c>
      <c r="AE137" s="564">
        <f t="shared" si="181"/>
        <v>258.53266828296552</v>
      </c>
      <c r="AF137" s="547">
        <f t="shared" si="182"/>
        <v>3.6552440597785188E-2</v>
      </c>
      <c r="AH137" s="180">
        <f t="shared" si="183"/>
        <v>0.24443945947953935</v>
      </c>
      <c r="AI137" s="180">
        <f t="shared" si="184"/>
        <v>0.28999999999999998</v>
      </c>
      <c r="AJ137" s="180">
        <f t="shared" si="185"/>
        <v>1.1477329533045517</v>
      </c>
      <c r="AL137" s="564">
        <f t="shared" si="186"/>
        <v>27.000000000000004</v>
      </c>
      <c r="AM137" s="473">
        <f t="shared" si="187"/>
        <v>258.53266828296552</v>
      </c>
      <c r="AO137" s="473">
        <f t="shared" si="188"/>
        <v>27.000000000000004</v>
      </c>
      <c r="AP137" s="473">
        <f t="shared" si="189"/>
        <v>258.53266828296552</v>
      </c>
      <c r="AR137" s="5">
        <f t="shared" si="225"/>
        <v>3.8679831320407607</v>
      </c>
      <c r="AS137" s="5">
        <f t="shared" si="222"/>
        <v>1.5949999999999998</v>
      </c>
      <c r="AT137" s="5">
        <f t="shared" si="223"/>
        <v>2.272983132040761</v>
      </c>
      <c r="AU137" s="180">
        <f t="shared" si="224"/>
        <v>0.41235960591132992</v>
      </c>
      <c r="AW137" s="5">
        <f t="shared" si="193"/>
        <v>0.68357142857142861</v>
      </c>
      <c r="AX137" s="5">
        <f t="shared" si="194"/>
        <v>0.28709999999999997</v>
      </c>
      <c r="AY137" s="5">
        <f t="shared" si="195"/>
        <v>3.5799484329641987E-2</v>
      </c>
      <c r="AZ137" s="5"/>
      <c r="BA137" s="180">
        <f t="shared" si="196"/>
        <v>0.10751657679499603</v>
      </c>
      <c r="BB137" s="180">
        <f t="shared" si="197"/>
        <v>7.5924883267782142E-2</v>
      </c>
      <c r="BC137" s="180">
        <f t="shared" si="198"/>
        <v>7.7643713568145672E-2</v>
      </c>
      <c r="BD137" s="180"/>
      <c r="BE137" s="547">
        <f t="shared" si="199"/>
        <v>4.045934999999997E-3</v>
      </c>
      <c r="BF137" s="547">
        <f t="shared" si="200"/>
        <v>1.731910344827586E-2</v>
      </c>
      <c r="BG137" s="547">
        <f t="shared" si="201"/>
        <v>3.2316583535370686E-3</v>
      </c>
      <c r="BH137" s="547">
        <f t="shared" si="202"/>
        <v>7.9324479845422104E-3</v>
      </c>
      <c r="BI137">
        <f t="shared" si="203"/>
        <v>2.8999999999999998E-3</v>
      </c>
      <c r="BJ137" s="473">
        <f t="shared" si="204"/>
        <v>35.429144786355138</v>
      </c>
      <c r="BK137" s="180">
        <f t="shared" si="205"/>
        <v>9.4500000000000001E-3</v>
      </c>
      <c r="BL137" s="180">
        <f t="shared" si="206"/>
        <v>9.4500000000000001E-3</v>
      </c>
      <c r="BM137" s="547"/>
      <c r="BO137" s="473">
        <f t="shared" si="207"/>
        <v>18.899999999999999</v>
      </c>
      <c r="BP137" s="547">
        <f t="shared" si="208"/>
        <v>1.2715795714285706E-3</v>
      </c>
      <c r="BQ137" s="547">
        <f t="shared" si="209"/>
        <v>2.017605764729221E-4</v>
      </c>
      <c r="BR137" s="547">
        <f t="shared" si="210"/>
        <v>1.8085638769956743E-4</v>
      </c>
      <c r="BS137" s="547">
        <f t="shared" si="211"/>
        <v>2.4336245081476911E-3</v>
      </c>
      <c r="BT137" s="657">
        <f t="shared" si="212"/>
        <v>2.1742597402597402E-2</v>
      </c>
      <c r="BU137" s="473">
        <f t="shared" si="213"/>
        <v>25.830418446346155</v>
      </c>
      <c r="BV137" s="180">
        <f t="shared" si="214"/>
        <v>8.0159563232701292E-2</v>
      </c>
      <c r="BW137" s="5">
        <f t="shared" si="215"/>
        <v>0.57510000000000006</v>
      </c>
      <c r="BX137" s="180">
        <f t="shared" si="216"/>
        <v>0.8776674653365808</v>
      </c>
      <c r="BY137" s="5">
        <f t="shared" si="217"/>
        <v>87.766746533658079</v>
      </c>
      <c r="BZ137">
        <f t="shared" si="218"/>
        <v>27</v>
      </c>
      <c r="CB137" s="582">
        <f t="shared" si="219"/>
        <v>-50</v>
      </c>
      <c r="CC137">
        <f t="shared" si="220"/>
        <v>-50</v>
      </c>
    </row>
    <row r="138" spans="5:81" x14ac:dyDescent="0.25">
      <c r="E138" s="177">
        <v>28</v>
      </c>
      <c r="F138" s="224">
        <f t="shared" si="221"/>
        <v>2.8000000000000004E-2</v>
      </c>
      <c r="G138" s="224">
        <f t="shared" si="160"/>
        <v>2.8000000000000004E-2</v>
      </c>
      <c r="H138" s="224">
        <f t="shared" si="161"/>
        <v>0.17640000000000003</v>
      </c>
      <c r="I138" s="224">
        <f t="shared" si="162"/>
        <v>0.42000000000000004</v>
      </c>
      <c r="J138" s="560">
        <f t="shared" si="163"/>
        <v>10</v>
      </c>
      <c r="K138" s="455">
        <f t="shared" si="164"/>
        <v>13.1</v>
      </c>
      <c r="L138" s="455">
        <f t="shared" si="165"/>
        <v>23.1</v>
      </c>
      <c r="M138" s="455"/>
      <c r="N138" s="224">
        <f t="shared" si="166"/>
        <v>0.5670995670995671</v>
      </c>
      <c r="O138" s="179">
        <f t="shared" si="167"/>
        <v>1.0944622279129324</v>
      </c>
      <c r="P138" s="179">
        <f t="shared" si="168"/>
        <v>2.6058624474117433</v>
      </c>
      <c r="Q138" s="224">
        <f t="shared" si="169"/>
        <v>0.17372416316078293</v>
      </c>
      <c r="R138" s="224">
        <f t="shared" si="170"/>
        <v>7.2964148527528819E-2</v>
      </c>
      <c r="S138" s="224">
        <f t="shared" si="171"/>
        <v>6.3</v>
      </c>
      <c r="T138" s="224">
        <f t="shared" si="172"/>
        <v>0.23370381679389315</v>
      </c>
      <c r="U138" s="224">
        <f t="shared" si="173"/>
        <v>1.2853709923664125</v>
      </c>
      <c r="V138" s="224">
        <f t="shared" si="174"/>
        <v>0.98119923081405536</v>
      </c>
      <c r="W138" s="204">
        <f t="shared" si="175"/>
        <v>350</v>
      </c>
      <c r="X138" s="455">
        <f t="shared" si="176"/>
        <v>350</v>
      </c>
      <c r="Z138" s="224">
        <f t="shared" si="177"/>
        <v>0.29459717771406085</v>
      </c>
      <c r="AA138" s="180">
        <f t="shared" si="178"/>
        <v>1.2368583797155226</v>
      </c>
      <c r="AB138" s="180">
        <f t="shared" si="179"/>
        <v>3.7720509310379111E-2</v>
      </c>
      <c r="AC138" s="180"/>
      <c r="AD138" s="180">
        <f t="shared" si="180"/>
        <v>1.217557251908397</v>
      </c>
      <c r="AE138" s="564">
        <f t="shared" si="181"/>
        <v>268.10795229344575</v>
      </c>
      <c r="AF138" s="547">
        <f t="shared" si="182"/>
        <v>3.6552440597785188E-2</v>
      </c>
      <c r="AH138" s="180">
        <f t="shared" si="183"/>
        <v>0.24892496131090663</v>
      </c>
      <c r="AI138" s="180">
        <f t="shared" si="184"/>
        <v>0.28999999999999998</v>
      </c>
      <c r="AJ138" s="180">
        <f t="shared" si="185"/>
        <v>1.1532045441676833</v>
      </c>
      <c r="AL138" s="564">
        <f t="shared" si="186"/>
        <v>28.000000000000004</v>
      </c>
      <c r="AM138" s="473">
        <f t="shared" si="187"/>
        <v>268.10795229344575</v>
      </c>
      <c r="AO138" s="473">
        <f t="shared" si="188"/>
        <v>28.000000000000004</v>
      </c>
      <c r="AP138" s="473">
        <f t="shared" si="189"/>
        <v>268.10795229344575</v>
      </c>
      <c r="AR138" s="5">
        <f t="shared" si="225"/>
        <v>3.7298408773250191</v>
      </c>
      <c r="AS138" s="5">
        <f t="shared" si="222"/>
        <v>1.5949999999999998</v>
      </c>
      <c r="AT138" s="5">
        <f t="shared" si="223"/>
        <v>2.1348408773250194</v>
      </c>
      <c r="AU138" s="180">
        <f t="shared" si="224"/>
        <v>0.42763218390804586</v>
      </c>
      <c r="AW138" s="5">
        <f t="shared" si="193"/>
        <v>0.7088888888888889</v>
      </c>
      <c r="AX138" s="5">
        <f t="shared" si="194"/>
        <v>0.29773333333333335</v>
      </c>
      <c r="AY138" s="5">
        <f t="shared" si="195"/>
        <v>3.4869067662975317E-2</v>
      </c>
      <c r="AZ138" s="5"/>
      <c r="BA138" s="180">
        <f t="shared" si="196"/>
        <v>0.1094895225834671</v>
      </c>
      <c r="BB138" s="180">
        <f t="shared" si="197"/>
        <v>7.4931756825237214E-2</v>
      </c>
      <c r="BC138" s="180">
        <f t="shared" si="198"/>
        <v>7.6628104169446334E-2</v>
      </c>
      <c r="BD138" s="180"/>
      <c r="BE138" s="547">
        <f t="shared" si="199"/>
        <v>4.1957844444444432E-3</v>
      </c>
      <c r="BF138" s="547">
        <f t="shared" si="200"/>
        <v>1.7960551724137932E-2</v>
      </c>
      <c r="BG138" s="547">
        <f t="shared" si="201"/>
        <v>3.3513494036680716E-3</v>
      </c>
      <c r="BH138" s="547">
        <f t="shared" si="202"/>
        <v>8.2262423543400711E-3</v>
      </c>
      <c r="BI138">
        <f t="shared" si="203"/>
        <v>2.8999999999999998E-3</v>
      </c>
      <c r="BJ138" s="473">
        <f t="shared" si="204"/>
        <v>36.633927926590516</v>
      </c>
      <c r="BK138" s="180">
        <f t="shared" si="205"/>
        <v>9.8000000000000014E-3</v>
      </c>
      <c r="BL138" s="180">
        <f t="shared" si="206"/>
        <v>9.8000000000000014E-3</v>
      </c>
      <c r="BM138" s="547"/>
      <c r="BO138" s="473">
        <f t="shared" si="207"/>
        <v>19.600000000000001</v>
      </c>
      <c r="BP138" s="547">
        <f t="shared" si="208"/>
        <v>1.3186751111111108E-3</v>
      </c>
      <c r="BQ138" s="547">
        <f t="shared" si="209"/>
        <v>1.9651688633207697E-4</v>
      </c>
      <c r="BR138" s="547">
        <f t="shared" si="210"/>
        <v>1.7615599045810556E-4</v>
      </c>
      <c r="BS138" s="547">
        <f t="shared" si="211"/>
        <v>2.6652578939192779E-3</v>
      </c>
      <c r="BT138" s="657">
        <f t="shared" si="212"/>
        <v>2.254787878787879E-2</v>
      </c>
      <c r="BU138" s="473">
        <f t="shared" si="213"/>
        <v>26.904484669699361</v>
      </c>
      <c r="BV138" s="180">
        <f t="shared" si="214"/>
        <v>8.3138412596289887E-2</v>
      </c>
      <c r="BW138" s="5">
        <f t="shared" si="215"/>
        <v>0.59640000000000004</v>
      </c>
      <c r="BX138" s="180">
        <f t="shared" si="216"/>
        <v>0.87765457985127626</v>
      </c>
      <c r="BY138" s="5">
        <f t="shared" si="217"/>
        <v>87.765457985127625</v>
      </c>
      <c r="BZ138">
        <f t="shared" si="218"/>
        <v>28.000000000000004</v>
      </c>
      <c r="CB138" s="582">
        <f t="shared" si="219"/>
        <v>-50</v>
      </c>
      <c r="CC138">
        <f t="shared" si="220"/>
        <v>-50</v>
      </c>
    </row>
    <row r="139" spans="5:81" x14ac:dyDescent="0.25">
      <c r="E139" s="177">
        <v>29</v>
      </c>
      <c r="F139" s="224">
        <f t="shared" si="221"/>
        <v>2.8999999999999998E-2</v>
      </c>
      <c r="G139" s="224">
        <f t="shared" si="160"/>
        <v>2.8999999999999998E-2</v>
      </c>
      <c r="H139" s="224">
        <f t="shared" si="161"/>
        <v>0.18269999999999997</v>
      </c>
      <c r="I139" s="224">
        <f t="shared" si="162"/>
        <v>0.43499999999999994</v>
      </c>
      <c r="J139" s="560">
        <f t="shared" si="163"/>
        <v>10</v>
      </c>
      <c r="K139" s="455">
        <f t="shared" si="164"/>
        <v>13.1</v>
      </c>
      <c r="L139" s="455">
        <f t="shared" si="165"/>
        <v>23.1</v>
      </c>
      <c r="M139" s="455"/>
      <c r="N139" s="224">
        <f t="shared" si="166"/>
        <v>0.5670995670995671</v>
      </c>
      <c r="O139" s="179">
        <f t="shared" si="167"/>
        <v>1.0944622279129324</v>
      </c>
      <c r="P139" s="179">
        <f t="shared" si="168"/>
        <v>2.6058624474117433</v>
      </c>
      <c r="Q139" s="224">
        <f t="shared" si="169"/>
        <v>0.17372416316078293</v>
      </c>
      <c r="R139" s="224">
        <f t="shared" si="170"/>
        <v>7.2964148527528819E-2</v>
      </c>
      <c r="S139" s="224">
        <f t="shared" si="171"/>
        <v>6.3</v>
      </c>
      <c r="T139" s="224">
        <f t="shared" si="172"/>
        <v>0.24205038167938928</v>
      </c>
      <c r="U139" s="224">
        <f t="shared" si="173"/>
        <v>1.3312770992366409</v>
      </c>
      <c r="V139" s="224">
        <f t="shared" si="174"/>
        <v>1.0162420604859856</v>
      </c>
      <c r="W139" s="204">
        <f t="shared" si="175"/>
        <v>350</v>
      </c>
      <c r="X139" s="455">
        <f t="shared" si="176"/>
        <v>350</v>
      </c>
      <c r="Z139" s="224">
        <f t="shared" si="177"/>
        <v>0.29459717771406085</v>
      </c>
      <c r="AA139" s="180">
        <f t="shared" si="178"/>
        <v>1.2368583797155226</v>
      </c>
      <c r="AB139" s="180">
        <f t="shared" si="179"/>
        <v>3.7720509310379111E-2</v>
      </c>
      <c r="AC139" s="180"/>
      <c r="AD139" s="180">
        <f t="shared" si="180"/>
        <v>1.217557251908397</v>
      </c>
      <c r="AE139" s="564">
        <f t="shared" si="181"/>
        <v>277.68323630392587</v>
      </c>
      <c r="AF139" s="547">
        <f t="shared" si="182"/>
        <v>3.6552440597785188E-2</v>
      </c>
      <c r="AH139" s="180">
        <f t="shared" si="183"/>
        <v>0.25333105489975638</v>
      </c>
      <c r="AI139" s="180">
        <f t="shared" si="184"/>
        <v>0.28999999999999998</v>
      </c>
      <c r="AJ139" s="180">
        <f t="shared" si="185"/>
        <v>1.1586761350308148</v>
      </c>
      <c r="AL139" s="564">
        <f t="shared" si="186"/>
        <v>28.999999999999996</v>
      </c>
      <c r="AM139" s="473">
        <f t="shared" si="187"/>
        <v>277.68323630392587</v>
      </c>
      <c r="AO139" s="473">
        <f t="shared" si="188"/>
        <v>28.999999999999996</v>
      </c>
      <c r="AP139" s="473">
        <f t="shared" si="189"/>
        <v>277.68323630392587</v>
      </c>
      <c r="AR139" s="5">
        <f t="shared" si="225"/>
        <v>3.60122567465864</v>
      </c>
      <c r="AS139" s="5">
        <f t="shared" si="222"/>
        <v>1.5949999999999998</v>
      </c>
      <c r="AT139" s="5">
        <f t="shared" si="223"/>
        <v>2.0062256746586402</v>
      </c>
      <c r="AU139" s="180">
        <f t="shared" si="224"/>
        <v>0.44290476190476169</v>
      </c>
      <c r="AW139" s="5">
        <f t="shared" si="193"/>
        <v>0.73420634920634908</v>
      </c>
      <c r="AX139" s="5">
        <f t="shared" si="194"/>
        <v>0.30836666666666662</v>
      </c>
      <c r="AY139" s="5">
        <f t="shared" si="195"/>
        <v>3.3938650996308647E-2</v>
      </c>
      <c r="AZ139" s="5"/>
      <c r="BA139" s="180">
        <f t="shared" si="196"/>
        <v>0.11142754069527343</v>
      </c>
      <c r="BB139" s="180">
        <f t="shared" si="197"/>
        <v>7.3925289736372538E-2</v>
      </c>
      <c r="BC139" s="180">
        <f t="shared" si="198"/>
        <v>7.5598852111356779E-2</v>
      </c>
      <c r="BD139" s="180"/>
      <c r="BE139" s="547">
        <f t="shared" si="199"/>
        <v>4.3456338888888859E-3</v>
      </c>
      <c r="BF139" s="547">
        <f t="shared" si="200"/>
        <v>1.8601999999999994E-2</v>
      </c>
      <c r="BG139" s="547">
        <f t="shared" si="201"/>
        <v>3.4710404537990733E-3</v>
      </c>
      <c r="BH139" s="547">
        <f t="shared" si="202"/>
        <v>8.5200367241379284E-3</v>
      </c>
      <c r="BI139">
        <f t="shared" si="203"/>
        <v>2.8999999999999998E-3</v>
      </c>
      <c r="BJ139" s="473">
        <f t="shared" si="204"/>
        <v>37.83871106682588</v>
      </c>
      <c r="BK139" s="180">
        <f t="shared" si="205"/>
        <v>1.0149999999999999E-2</v>
      </c>
      <c r="BL139" s="180">
        <f t="shared" si="206"/>
        <v>1.0149999999999999E-2</v>
      </c>
      <c r="BM139" s="547"/>
      <c r="BO139" s="473">
        <f t="shared" si="207"/>
        <v>20.299999999999997</v>
      </c>
      <c r="BP139" s="547">
        <f t="shared" si="208"/>
        <v>1.3657706507936497E-3</v>
      </c>
      <c r="BQ139" s="547">
        <f t="shared" si="209"/>
        <v>1.9127319619123196E-4</v>
      </c>
      <c r="BR139" s="547">
        <f t="shared" si="210"/>
        <v>1.7145559321664379E-4</v>
      </c>
      <c r="BS139" s="547">
        <f t="shared" si="211"/>
        <v>2.9096393045236792E-3</v>
      </c>
      <c r="BT139" s="657">
        <f t="shared" si="212"/>
        <v>2.3353160173160168E-2</v>
      </c>
      <c r="BU139" s="473">
        <f t="shared" si="213"/>
        <v>27.991298917885373</v>
      </c>
      <c r="BV139" s="180">
        <f t="shared" si="214"/>
        <v>8.613000998471125E-2</v>
      </c>
      <c r="BW139" s="5">
        <f t="shared" si="215"/>
        <v>0.61769999999999992</v>
      </c>
      <c r="BX139" s="180">
        <f t="shared" si="216"/>
        <v>0.87762668717893666</v>
      </c>
      <c r="BY139" s="5">
        <f t="shared" si="217"/>
        <v>87.762668717893661</v>
      </c>
      <c r="BZ139">
        <f t="shared" si="218"/>
        <v>28.999999999999996</v>
      </c>
      <c r="CB139" s="582">
        <f t="shared" si="219"/>
        <v>-50</v>
      </c>
      <c r="CC139">
        <f t="shared" si="220"/>
        <v>-50</v>
      </c>
    </row>
    <row r="140" spans="5:81" x14ac:dyDescent="0.25">
      <c r="E140" s="177">
        <v>30</v>
      </c>
      <c r="F140" s="224">
        <f t="shared" si="221"/>
        <v>0.03</v>
      </c>
      <c r="G140" s="224">
        <f t="shared" si="160"/>
        <v>0.03</v>
      </c>
      <c r="H140" s="224">
        <f t="shared" si="161"/>
        <v>0.189</v>
      </c>
      <c r="I140" s="224">
        <f t="shared" si="162"/>
        <v>0.44999999999999996</v>
      </c>
      <c r="J140" s="560">
        <f t="shared" si="163"/>
        <v>10</v>
      </c>
      <c r="K140" s="455">
        <f t="shared" si="164"/>
        <v>13.1</v>
      </c>
      <c r="L140" s="455">
        <f t="shared" si="165"/>
        <v>23.1</v>
      </c>
      <c r="M140" s="455"/>
      <c r="N140" s="224">
        <f t="shared" si="166"/>
        <v>0.5670995670995671</v>
      </c>
      <c r="O140" s="179">
        <f t="shared" si="167"/>
        <v>1.0944622279129324</v>
      </c>
      <c r="P140" s="179">
        <f t="shared" si="168"/>
        <v>2.6058624474117433</v>
      </c>
      <c r="Q140" s="224">
        <f t="shared" si="169"/>
        <v>0.17372416316078293</v>
      </c>
      <c r="R140" s="224">
        <f t="shared" si="170"/>
        <v>7.2964148527528819E-2</v>
      </c>
      <c r="S140" s="224">
        <f t="shared" si="171"/>
        <v>6.3</v>
      </c>
      <c r="T140" s="224">
        <f t="shared" si="172"/>
        <v>0.25039694656488548</v>
      </c>
      <c r="U140" s="224">
        <f t="shared" si="173"/>
        <v>1.3771832061068701</v>
      </c>
      <c r="V140" s="224">
        <f t="shared" si="174"/>
        <v>1.0512848901579162</v>
      </c>
      <c r="W140" s="204">
        <f t="shared" si="175"/>
        <v>350</v>
      </c>
      <c r="X140" s="455">
        <f t="shared" si="176"/>
        <v>350</v>
      </c>
      <c r="Z140" s="224">
        <f t="shared" si="177"/>
        <v>0.29459717771406085</v>
      </c>
      <c r="AA140" s="180">
        <f t="shared" si="178"/>
        <v>1.2368583797155226</v>
      </c>
      <c r="AB140" s="180">
        <f t="shared" si="179"/>
        <v>3.7720509310379111E-2</v>
      </c>
      <c r="AC140" s="180"/>
      <c r="AD140" s="180">
        <f t="shared" si="180"/>
        <v>1.217557251908397</v>
      </c>
      <c r="AE140" s="564">
        <f t="shared" si="181"/>
        <v>287.2585203144061</v>
      </c>
      <c r="AF140" s="547">
        <f t="shared" si="182"/>
        <v>3.6552440597785188E-2</v>
      </c>
      <c r="AH140" s="180">
        <f t="shared" si="183"/>
        <v>0.257661813991927</v>
      </c>
      <c r="AI140" s="180">
        <f t="shared" si="184"/>
        <v>0.28999999999999998</v>
      </c>
      <c r="AJ140" s="180">
        <f t="shared" si="185"/>
        <v>1.1641477258939463</v>
      </c>
      <c r="AL140" s="564">
        <f t="shared" si="186"/>
        <v>30</v>
      </c>
      <c r="AM140" s="473">
        <f t="shared" si="187"/>
        <v>287.2585203144061</v>
      </c>
      <c r="AO140" s="473">
        <f t="shared" si="188"/>
        <v>30</v>
      </c>
      <c r="AP140" s="473">
        <f t="shared" si="189"/>
        <v>287.2585203144061</v>
      </c>
      <c r="AR140" s="5">
        <f t="shared" si="225"/>
        <v>3.481184818836685</v>
      </c>
      <c r="AS140" s="5">
        <f t="shared" si="222"/>
        <v>1.5949999999999998</v>
      </c>
      <c r="AT140" s="5">
        <f t="shared" si="223"/>
        <v>1.8861848188366852</v>
      </c>
      <c r="AU140" s="180">
        <f t="shared" si="224"/>
        <v>0.45817733990147769</v>
      </c>
      <c r="AW140" s="5">
        <f t="shared" si="193"/>
        <v>0.75952380952380938</v>
      </c>
      <c r="AX140" s="5">
        <f t="shared" si="194"/>
        <v>0.31899999999999995</v>
      </c>
      <c r="AY140" s="5">
        <f t="shared" si="195"/>
        <v>3.3008234329641985E-2</v>
      </c>
      <c r="AZ140" s="5"/>
      <c r="BA140" s="180">
        <f t="shared" si="196"/>
        <v>0.11333242296553131</v>
      </c>
      <c r="BB140" s="180">
        <f t="shared" si="197"/>
        <v>7.2904929492433962E-2</v>
      </c>
      <c r="BC140" s="180">
        <f t="shared" si="198"/>
        <v>7.4555392377118265E-2</v>
      </c>
      <c r="BD140" s="180"/>
      <c r="BE140" s="547">
        <f t="shared" si="199"/>
        <v>4.4954833333333312E-3</v>
      </c>
      <c r="BF140" s="547">
        <f t="shared" si="200"/>
        <v>1.9243448275862066E-2</v>
      </c>
      <c r="BG140" s="547">
        <f t="shared" si="201"/>
        <v>3.5907315039300758E-3</v>
      </c>
      <c r="BH140" s="547">
        <f t="shared" si="202"/>
        <v>8.8138310939357874E-3</v>
      </c>
      <c r="BI140">
        <f t="shared" si="203"/>
        <v>2.8999999999999998E-3</v>
      </c>
      <c r="BJ140" s="473">
        <f t="shared" si="204"/>
        <v>39.043494207061258</v>
      </c>
      <c r="BK140" s="180">
        <f t="shared" si="205"/>
        <v>1.0499999999999999E-2</v>
      </c>
      <c r="BL140" s="180">
        <f t="shared" si="206"/>
        <v>1.0499999999999999E-2</v>
      </c>
      <c r="BM140" s="547"/>
      <c r="BO140" s="473">
        <f t="shared" si="207"/>
        <v>20.999999999999996</v>
      </c>
      <c r="BP140" s="547">
        <f t="shared" si="208"/>
        <v>1.4128661904761898E-3</v>
      </c>
      <c r="BQ140" s="547">
        <f t="shared" si="209"/>
        <v>1.8602950605038686E-4</v>
      </c>
      <c r="BR140" s="547">
        <f t="shared" si="210"/>
        <v>1.6675519597518192E-4</v>
      </c>
      <c r="BS140" s="547">
        <f t="shared" si="211"/>
        <v>3.1669944096105788E-3</v>
      </c>
      <c r="BT140" s="657">
        <f t="shared" si="212"/>
        <v>2.4158441558441556E-2</v>
      </c>
      <c r="BU140" s="473">
        <f t="shared" si="213"/>
        <v>29.091086860553894</v>
      </c>
      <c r="BV140" s="180">
        <f t="shared" si="214"/>
        <v>8.913458106761514E-2</v>
      </c>
      <c r="BW140" s="5">
        <f t="shared" si="215"/>
        <v>0.63900000000000001</v>
      </c>
      <c r="BX140" s="180">
        <f t="shared" si="216"/>
        <v>0.87758501877918904</v>
      </c>
      <c r="BY140" s="5">
        <f t="shared" si="217"/>
        <v>87.758501877918903</v>
      </c>
      <c r="BZ140">
        <f t="shared" si="218"/>
        <v>30</v>
      </c>
      <c r="CB140" s="582">
        <f t="shared" si="219"/>
        <v>-50</v>
      </c>
      <c r="CC140">
        <f t="shared" si="220"/>
        <v>-50</v>
      </c>
    </row>
    <row r="141" spans="5:81" x14ac:dyDescent="0.25">
      <c r="E141" s="177">
        <v>31</v>
      </c>
      <c r="F141" s="224">
        <f t="shared" si="221"/>
        <v>3.1E-2</v>
      </c>
      <c r="G141" s="224">
        <f t="shared" si="160"/>
        <v>3.1E-2</v>
      </c>
      <c r="H141" s="224">
        <f t="shared" si="161"/>
        <v>0.1953</v>
      </c>
      <c r="I141" s="224">
        <f t="shared" si="162"/>
        <v>0.46499999999999997</v>
      </c>
      <c r="J141" s="560">
        <f t="shared" si="163"/>
        <v>10</v>
      </c>
      <c r="K141" s="455">
        <f t="shared" si="164"/>
        <v>13.1</v>
      </c>
      <c r="L141" s="455">
        <f t="shared" si="165"/>
        <v>23.1</v>
      </c>
      <c r="M141" s="455"/>
      <c r="N141" s="224">
        <f t="shared" si="166"/>
        <v>0.5670995670995671</v>
      </c>
      <c r="O141" s="179">
        <f t="shared" si="167"/>
        <v>1.0944622279129324</v>
      </c>
      <c r="P141" s="179">
        <f t="shared" si="168"/>
        <v>2.6058624474117433</v>
      </c>
      <c r="Q141" s="224">
        <f t="shared" si="169"/>
        <v>0.17372416316078293</v>
      </c>
      <c r="R141" s="224">
        <f t="shared" si="170"/>
        <v>7.2964148527528819E-2</v>
      </c>
      <c r="S141" s="224">
        <f t="shared" si="171"/>
        <v>6.3</v>
      </c>
      <c r="T141" s="224">
        <f t="shared" si="172"/>
        <v>0.25874351145038166</v>
      </c>
      <c r="U141" s="224">
        <f t="shared" si="173"/>
        <v>1.423089312977099</v>
      </c>
      <c r="V141" s="224">
        <f t="shared" si="174"/>
        <v>1.0863277198298467</v>
      </c>
      <c r="W141" s="204">
        <f t="shared" si="175"/>
        <v>350</v>
      </c>
      <c r="X141" s="455">
        <f t="shared" si="176"/>
        <v>350</v>
      </c>
      <c r="Z141" s="224">
        <f t="shared" si="177"/>
        <v>0.29459717771406085</v>
      </c>
      <c r="AA141" s="180">
        <f t="shared" si="178"/>
        <v>1.2368583797155226</v>
      </c>
      <c r="AB141" s="180">
        <f t="shared" si="179"/>
        <v>3.7720509310379111E-2</v>
      </c>
      <c r="AC141" s="180"/>
      <c r="AD141" s="180">
        <f t="shared" si="180"/>
        <v>1.217557251908397</v>
      </c>
      <c r="AE141" s="564">
        <f t="shared" si="181"/>
        <v>296.83380432488633</v>
      </c>
      <c r="AF141" s="547">
        <f t="shared" si="182"/>
        <v>3.6552440597785188E-2</v>
      </c>
      <c r="AH141" s="180">
        <f t="shared" si="183"/>
        <v>0.26192097549184068</v>
      </c>
      <c r="AI141" s="180">
        <f t="shared" si="184"/>
        <v>0.28999999999999998</v>
      </c>
      <c r="AJ141" s="180">
        <f t="shared" si="185"/>
        <v>1.1696193167570779</v>
      </c>
      <c r="AL141" s="564">
        <f t="shared" si="186"/>
        <v>31</v>
      </c>
      <c r="AM141" s="473">
        <f t="shared" si="187"/>
        <v>296.83380432488633</v>
      </c>
      <c r="AO141" s="473">
        <f t="shared" si="188"/>
        <v>31</v>
      </c>
      <c r="AP141" s="473">
        <f t="shared" si="189"/>
        <v>296.83380432488633</v>
      </c>
      <c r="AR141" s="5">
        <f t="shared" si="225"/>
        <v>3.3688885343580819</v>
      </c>
      <c r="AS141" s="5">
        <f t="shared" si="222"/>
        <v>1.5949999999999998</v>
      </c>
      <c r="AT141" s="5">
        <f t="shared" si="223"/>
        <v>1.7738885343580821</v>
      </c>
      <c r="AU141" s="180">
        <f t="shared" si="224"/>
        <v>0.47344991789819363</v>
      </c>
      <c r="AW141" s="5">
        <f t="shared" si="193"/>
        <v>0.78484126984126967</v>
      </c>
      <c r="AX141" s="5">
        <f t="shared" si="194"/>
        <v>0.32963333333333328</v>
      </c>
      <c r="AY141" s="5">
        <f t="shared" si="195"/>
        <v>3.2077817662975315E-2</v>
      </c>
      <c r="AZ141" s="5"/>
      <c r="BA141" s="180">
        <f t="shared" si="196"/>
        <v>0.11520581306982457</v>
      </c>
      <c r="BB141" s="180">
        <f t="shared" si="197"/>
        <v>7.187008436051058E-2</v>
      </c>
      <c r="BC141" s="180">
        <f t="shared" si="198"/>
        <v>7.349711983783673E-2</v>
      </c>
      <c r="BD141" s="180"/>
      <c r="BE141" s="547">
        <f t="shared" si="199"/>
        <v>4.6453327777777765E-3</v>
      </c>
      <c r="BF141" s="547">
        <f t="shared" si="200"/>
        <v>1.9884896551724134E-2</v>
      </c>
      <c r="BG141" s="547">
        <f t="shared" si="201"/>
        <v>3.7104225540610792E-3</v>
      </c>
      <c r="BH141" s="547">
        <f t="shared" si="202"/>
        <v>9.1076254637336481E-3</v>
      </c>
      <c r="BI141">
        <f t="shared" si="203"/>
        <v>2.8999999999999998E-3</v>
      </c>
      <c r="BJ141" s="473">
        <f t="shared" si="204"/>
        <v>40.248277347296643</v>
      </c>
      <c r="BK141" s="180">
        <f t="shared" si="205"/>
        <v>1.0849999999999999E-2</v>
      </c>
      <c r="BL141" s="180">
        <f t="shared" si="206"/>
        <v>1.0849999999999999E-2</v>
      </c>
      <c r="BM141" s="547"/>
      <c r="BO141" s="473">
        <f t="shared" si="207"/>
        <v>21.699999999999996</v>
      </c>
      <c r="BP141" s="547">
        <f t="shared" si="208"/>
        <v>1.4599617301587298E-3</v>
      </c>
      <c r="BQ141" s="547">
        <f t="shared" si="209"/>
        <v>1.8078581590954179E-4</v>
      </c>
      <c r="BR141" s="547">
        <f t="shared" si="210"/>
        <v>1.6205479873372E-4</v>
      </c>
      <c r="BS141" s="547">
        <f t="shared" si="211"/>
        <v>3.4375450192365188E-3</v>
      </c>
      <c r="BT141" s="657">
        <f t="shared" si="212"/>
        <v>2.4963722943722941E-2</v>
      </c>
      <c r="BU141" s="473">
        <f t="shared" si="213"/>
        <v>30.204070307761452</v>
      </c>
      <c r="BV141" s="180">
        <f t="shared" si="214"/>
        <v>9.2152347655058087E-2</v>
      </c>
      <c r="BW141" s="5">
        <f t="shared" si="215"/>
        <v>0.6603</v>
      </c>
      <c r="BX141" s="180">
        <f t="shared" si="216"/>
        <v>0.87753065301445121</v>
      </c>
      <c r="BY141" s="5">
        <f t="shared" si="217"/>
        <v>87.753065301445119</v>
      </c>
      <c r="BZ141">
        <f t="shared" si="218"/>
        <v>31</v>
      </c>
      <c r="CB141" s="582">
        <f t="shared" si="219"/>
        <v>-50</v>
      </c>
      <c r="CC141">
        <f t="shared" si="220"/>
        <v>-50</v>
      </c>
    </row>
    <row r="142" spans="5:81" x14ac:dyDescent="0.25">
      <c r="E142" s="177">
        <v>32</v>
      </c>
      <c r="F142" s="224">
        <f t="shared" si="221"/>
        <v>3.2000000000000001E-2</v>
      </c>
      <c r="G142" s="224">
        <f t="shared" ref="G142:G173" si="226">IF(PLOT_TYPE=1, E142/100*Iout2, min_I*EXP(Q142*rr/100))</f>
        <v>3.2000000000000001E-2</v>
      </c>
      <c r="H142" s="224">
        <f t="shared" ref="H142:H173" si="227">F142*Vout</f>
        <v>0.2016</v>
      </c>
      <c r="I142" s="224">
        <f t="shared" ref="I142:I173" si="228">Vout2*G142</f>
        <v>0.48</v>
      </c>
      <c r="J142" s="560">
        <f t="shared" si="163"/>
        <v>10</v>
      </c>
      <c r="K142" s="455">
        <f t="shared" si="164"/>
        <v>13.1</v>
      </c>
      <c r="L142" s="455">
        <f t="shared" si="165"/>
        <v>23.1</v>
      </c>
      <c r="M142" s="455"/>
      <c r="N142" s="224">
        <f t="shared" si="166"/>
        <v>0.5670995670995671</v>
      </c>
      <c r="O142" s="179">
        <f t="shared" ref="O142:O173" si="229">N142*J142*Isw_max*0.5*Efficiency*Pout/(Pout+Pout2)</f>
        <v>1.0944622279129324</v>
      </c>
      <c r="P142" s="179">
        <f t="shared" ref="P142:P173" si="230">N142*J142*Isw_max*0.5*Efficiency*(Pout2/Pout_total)</f>
        <v>2.6058624474117433</v>
      </c>
      <c r="Q142" s="224">
        <f t="shared" si="169"/>
        <v>0.17372416316078293</v>
      </c>
      <c r="R142" s="224">
        <f t="shared" ref="R142:R173" si="231">O142/Vout2</f>
        <v>7.2964148527528819E-2</v>
      </c>
      <c r="S142" s="224">
        <f t="shared" ref="S142:S173" si="232">MIN(Vout,O142/F142)</f>
        <v>6.3</v>
      </c>
      <c r="T142" s="224">
        <f t="shared" ref="T142:T173" si="233">MIN(2*(Vout*F142+Vout2*G142)/(Efficiency*J142*N142), Isw_max)</f>
        <v>0.26709007633587784</v>
      </c>
      <c r="U142" s="224">
        <f t="shared" si="173"/>
        <v>1.4689954198473283</v>
      </c>
      <c r="V142" s="224">
        <f t="shared" si="174"/>
        <v>1.1213705495017772</v>
      </c>
      <c r="W142" s="204">
        <f t="shared" si="175"/>
        <v>350</v>
      </c>
      <c r="X142" s="455">
        <f t="shared" si="176"/>
        <v>350</v>
      </c>
      <c r="Z142" s="224">
        <f t="shared" si="177"/>
        <v>0.29459717771406085</v>
      </c>
      <c r="AA142" s="180">
        <f t="shared" si="178"/>
        <v>1.2368583797155226</v>
      </c>
      <c r="AB142" s="180">
        <f t="shared" ref="AB142:AB173" si="234">0.5*AA142*Z142*Nps*W142/1000*(Pout/(Pout+Pout2))</f>
        <v>3.7720509310379111E-2</v>
      </c>
      <c r="AC142" s="180"/>
      <c r="AD142" s="180">
        <f t="shared" si="180"/>
        <v>1.217557251908397</v>
      </c>
      <c r="AE142" s="564">
        <f t="shared" ref="AE142:AE173" si="235">MAX(10, F142/(0.5*AD142/1000000*Isw_min*Nps)/1000*Pout_total/Pout)</f>
        <v>306.4090883353665</v>
      </c>
      <c r="AF142" s="547">
        <f t="shared" ref="AF142:AF173" si="236">0.5*AD142/1000000*Isw_min*Nps*W142*1000*(Pout/Pout_total)</f>
        <v>3.6552440597785188E-2</v>
      </c>
      <c r="AH142" s="180">
        <f t="shared" ref="AH142:AH173" si="237">SQRT((H142+I142)/(0.5*L*Fsw_DCM))</f>
        <v>0.26611197721182039</v>
      </c>
      <c r="AI142" s="180">
        <f t="shared" ref="AI142:AI173" si="238">MAX(IF(F142&gt;AB142,T142,AH142),Isw_min)</f>
        <v>0.28999999999999998</v>
      </c>
      <c r="AJ142" s="180">
        <f t="shared" ref="AJ142:AJ173" si="239">IF(F142&gt;AF142, (AI142-Isw_min)/1.08*0.8+1.2, AE142*0.2/350+1)</f>
        <v>1.1750909076202094</v>
      </c>
      <c r="AL142" s="564">
        <f t="shared" ref="AL142:AL173" si="240">F142*1000</f>
        <v>32</v>
      </c>
      <c r="AM142" s="473">
        <f t="shared" ref="AM142:AM173" si="241">IF(F142&gt;AF142, X142, AE142)</f>
        <v>306.4090883353665</v>
      </c>
      <c r="AO142" s="473">
        <f t="shared" si="188"/>
        <v>32</v>
      </c>
      <c r="AP142" s="473">
        <f t="shared" si="189"/>
        <v>306.4090883353665</v>
      </c>
      <c r="AR142" s="5">
        <f t="shared" si="225"/>
        <v>3.2636107676593924</v>
      </c>
      <c r="AS142" s="5">
        <f t="shared" si="222"/>
        <v>1.5949999999999998</v>
      </c>
      <c r="AT142" s="5">
        <f t="shared" si="223"/>
        <v>1.6686107676593926</v>
      </c>
      <c r="AU142" s="180">
        <f t="shared" si="224"/>
        <v>0.48872249589490946</v>
      </c>
      <c r="AW142" s="5">
        <f t="shared" si="193"/>
        <v>0.81015873015873008</v>
      </c>
      <c r="AX142" s="5">
        <f t="shared" si="194"/>
        <v>0.34026666666666661</v>
      </c>
      <c r="AY142" s="5">
        <f t="shared" si="195"/>
        <v>3.1147400996308656E-2</v>
      </c>
      <c r="AZ142" s="5"/>
      <c r="BA142" s="180">
        <f t="shared" si="196"/>
        <v>0.11704922312822338</v>
      </c>
      <c r="BB142" s="180">
        <f t="shared" si="197"/>
        <v>7.0820119370677767E-2</v>
      </c>
      <c r="BC142" s="180">
        <f t="shared" si="198"/>
        <v>7.242338514878055E-2</v>
      </c>
      <c r="BD142" s="180"/>
      <c r="BE142" s="547">
        <f t="shared" si="199"/>
        <v>4.7951822222222183E-3</v>
      </c>
      <c r="BF142" s="547">
        <f t="shared" si="200"/>
        <v>2.0526344827586203E-2</v>
      </c>
      <c r="BG142" s="547">
        <f t="shared" si="201"/>
        <v>3.8301136041920814E-3</v>
      </c>
      <c r="BH142" s="547">
        <f t="shared" si="202"/>
        <v>9.4014198335315071E-3</v>
      </c>
      <c r="BI142">
        <f t="shared" si="203"/>
        <v>2.8999999999999998E-3</v>
      </c>
      <c r="BJ142" s="473">
        <f t="shared" si="204"/>
        <v>41.453060487532007</v>
      </c>
      <c r="BK142" s="180">
        <f t="shared" si="205"/>
        <v>1.12E-2</v>
      </c>
      <c r="BL142" s="180">
        <f t="shared" si="206"/>
        <v>1.12E-2</v>
      </c>
      <c r="BM142" s="547"/>
      <c r="BO142" s="473">
        <f t="shared" si="207"/>
        <v>22.4</v>
      </c>
      <c r="BP142" s="547">
        <f t="shared" si="208"/>
        <v>1.5070572698412687E-3</v>
      </c>
      <c r="BQ142" s="547">
        <f t="shared" si="209"/>
        <v>1.7554212576869672E-4</v>
      </c>
      <c r="BR142" s="547">
        <f t="shared" si="210"/>
        <v>1.5735440149225821E-4</v>
      </c>
      <c r="BS142" s="547">
        <f t="shared" si="211"/>
        <v>3.7215092754064143E-3</v>
      </c>
      <c r="BT142" s="657">
        <f t="shared" ref="BT142:BT173" si="242">0.5*Lleak*0.000000001*AI142^2*AM142*1000</f>
        <v>2.5769004329004325E-2</v>
      </c>
      <c r="BU142" s="473">
        <f t="shared" si="213"/>
        <v>31.330467401512962</v>
      </c>
      <c r="BV142" s="180">
        <f t="shared" si="214"/>
        <v>9.5183527889044967E-2</v>
      </c>
      <c r="BW142" s="5">
        <f t="shared" si="215"/>
        <v>0.68159999999999998</v>
      </c>
      <c r="BX142" s="180">
        <f t="shared" si="216"/>
        <v>0.87746453874001196</v>
      </c>
      <c r="BY142" s="5">
        <f t="shared" si="217"/>
        <v>87.74645387400119</v>
      </c>
      <c r="BZ142">
        <f t="shared" si="218"/>
        <v>32</v>
      </c>
      <c r="CB142" s="582">
        <f t="shared" ref="CB142:CB173" si="243">IF(ABS(F142-Ioutmax_Vinmin)&lt;Iout/200, AM142, -50)</f>
        <v>-50</v>
      </c>
      <c r="CC142">
        <f t="shared" ref="CC142:CC173" si="244">IF(ABS(F142-Ioutmax_Vinmin)&lt;Iout/200, (O142+P142)*BX142, -50)</f>
        <v>-50</v>
      </c>
    </row>
    <row r="143" spans="5:81" x14ac:dyDescent="0.25">
      <c r="E143" s="177">
        <v>33</v>
      </c>
      <c r="F143" s="224">
        <f t="shared" ref="F143:F174" si="245">IF(PLOT_TYPE=1, E143/100*Iout_max, min_I*EXP(O143*rr/100))</f>
        <v>3.3000000000000002E-2</v>
      </c>
      <c r="G143" s="224">
        <f t="shared" si="226"/>
        <v>3.3000000000000002E-2</v>
      </c>
      <c r="H143" s="224">
        <f t="shared" si="227"/>
        <v>0.2079</v>
      </c>
      <c r="I143" s="224">
        <f t="shared" si="228"/>
        <v>0.495</v>
      </c>
      <c r="J143" s="560">
        <f t="shared" si="163"/>
        <v>10</v>
      </c>
      <c r="K143" s="455">
        <f t="shared" si="164"/>
        <v>13.1</v>
      </c>
      <c r="L143" s="455">
        <f t="shared" si="165"/>
        <v>23.1</v>
      </c>
      <c r="M143" s="455"/>
      <c r="N143" s="224">
        <f t="shared" si="166"/>
        <v>0.5670995670995671</v>
      </c>
      <c r="O143" s="179">
        <f t="shared" si="229"/>
        <v>1.0944622279129324</v>
      </c>
      <c r="P143" s="179">
        <f t="shared" si="230"/>
        <v>2.6058624474117433</v>
      </c>
      <c r="Q143" s="224">
        <f t="shared" si="169"/>
        <v>0.17372416316078293</v>
      </c>
      <c r="R143" s="224">
        <f t="shared" si="231"/>
        <v>7.2964148527528819E-2</v>
      </c>
      <c r="S143" s="224">
        <f t="shared" si="232"/>
        <v>6.3</v>
      </c>
      <c r="T143" s="224">
        <f t="shared" si="233"/>
        <v>0.27543664122137401</v>
      </c>
      <c r="U143" s="224">
        <f t="shared" si="173"/>
        <v>1.5149015267175572</v>
      </c>
      <c r="V143" s="224">
        <f t="shared" si="174"/>
        <v>1.1564133791737079</v>
      </c>
      <c r="W143" s="204">
        <f t="shared" si="175"/>
        <v>350</v>
      </c>
      <c r="X143" s="455">
        <f t="shared" si="176"/>
        <v>350</v>
      </c>
      <c r="Z143" s="224">
        <f t="shared" si="177"/>
        <v>0.29459717771406085</v>
      </c>
      <c r="AA143" s="180">
        <f t="shared" si="178"/>
        <v>1.2368583797155226</v>
      </c>
      <c r="AB143" s="180">
        <f t="shared" si="234"/>
        <v>3.7720509310379111E-2</v>
      </c>
      <c r="AC143" s="180"/>
      <c r="AD143" s="180">
        <f t="shared" si="180"/>
        <v>1.217557251908397</v>
      </c>
      <c r="AE143" s="564">
        <f t="shared" si="235"/>
        <v>315.98437234584674</v>
      </c>
      <c r="AF143" s="547">
        <f t="shared" si="236"/>
        <v>3.6552440597785188E-2</v>
      </c>
      <c r="AH143" s="180">
        <f t="shared" si="237"/>
        <v>0.27023799035030482</v>
      </c>
      <c r="AI143" s="180">
        <f t="shared" si="238"/>
        <v>0.28999999999999998</v>
      </c>
      <c r="AJ143" s="180">
        <f t="shared" si="239"/>
        <v>1.1805624984833409</v>
      </c>
      <c r="AL143" s="564">
        <f t="shared" si="240"/>
        <v>33</v>
      </c>
      <c r="AM143" s="473">
        <f t="shared" si="241"/>
        <v>315.98437234584674</v>
      </c>
      <c r="AO143" s="473">
        <f t="shared" si="188"/>
        <v>33</v>
      </c>
      <c r="AP143" s="473">
        <f t="shared" si="189"/>
        <v>315.98437234584674</v>
      </c>
      <c r="AR143" s="5">
        <f t="shared" si="225"/>
        <v>3.1647134716697134</v>
      </c>
      <c r="AS143" s="5">
        <f t="shared" si="222"/>
        <v>1.5949999999999998</v>
      </c>
      <c r="AT143" s="5">
        <f t="shared" si="223"/>
        <v>1.5697134716697136</v>
      </c>
      <c r="AU143" s="180">
        <f t="shared" si="224"/>
        <v>0.50399507389162546</v>
      </c>
      <c r="AW143" s="5">
        <f t="shared" si="193"/>
        <v>0.83547619047619037</v>
      </c>
      <c r="AX143" s="5">
        <f t="shared" si="194"/>
        <v>0.35089999999999999</v>
      </c>
      <c r="AY143" s="5">
        <f t="shared" si="195"/>
        <v>3.0216984329641979E-2</v>
      </c>
      <c r="AZ143" s="5"/>
      <c r="BA143" s="180">
        <f t="shared" si="196"/>
        <v>0.11886404799081132</v>
      </c>
      <c r="BB143" s="180">
        <f t="shared" si="197"/>
        <v>6.9754351759350394E-2</v>
      </c>
      <c r="BC143" s="180">
        <f t="shared" si="198"/>
        <v>7.1333490089577692E-2</v>
      </c>
      <c r="BD143" s="180"/>
      <c r="BE143" s="547">
        <f t="shared" si="199"/>
        <v>4.9450316666666636E-3</v>
      </c>
      <c r="BF143" s="547">
        <f t="shared" si="200"/>
        <v>2.1167793103448268E-2</v>
      </c>
      <c r="BG143" s="547">
        <f t="shared" si="201"/>
        <v>3.9498046543230839E-3</v>
      </c>
      <c r="BH143" s="547">
        <f t="shared" si="202"/>
        <v>9.6952142033293678E-3</v>
      </c>
      <c r="BI143">
        <f t="shared" si="203"/>
        <v>2.8999999999999998E-3</v>
      </c>
      <c r="BJ143" s="473">
        <f t="shared" si="204"/>
        <v>42.657843627767377</v>
      </c>
      <c r="BK143" s="180">
        <f t="shared" si="205"/>
        <v>1.155E-2</v>
      </c>
      <c r="BL143" s="180">
        <f t="shared" si="206"/>
        <v>1.155E-2</v>
      </c>
      <c r="BM143" s="547"/>
      <c r="BO143" s="473">
        <f t="shared" si="207"/>
        <v>23.099999999999998</v>
      </c>
      <c r="BP143" s="547">
        <f t="shared" si="208"/>
        <v>1.5541528095238085E-3</v>
      </c>
      <c r="BQ143" s="547">
        <f t="shared" si="209"/>
        <v>1.7029843562785162E-4</v>
      </c>
      <c r="BR143" s="547">
        <f t="shared" si="210"/>
        <v>1.5265400425079636E-4</v>
      </c>
      <c r="BS143" s="547">
        <f t="shared" si="211"/>
        <v>4.0191018282750186E-3</v>
      </c>
      <c r="BT143" s="657">
        <f t="shared" si="242"/>
        <v>2.6574285714285713E-2</v>
      </c>
      <c r="BU143" s="473">
        <f t="shared" si="213"/>
        <v>32.470492791963188</v>
      </c>
      <c r="BV143" s="180">
        <f t="shared" si="214"/>
        <v>9.8228336419730569E-2</v>
      </c>
      <c r="BW143" s="5">
        <f t="shared" si="215"/>
        <v>0.70289999999999997</v>
      </c>
      <c r="BX143" s="180">
        <f t="shared" si="216"/>
        <v>0.87738751464126663</v>
      </c>
      <c r="BY143" s="5">
        <f t="shared" si="217"/>
        <v>87.738751464126665</v>
      </c>
      <c r="BZ143">
        <f t="shared" si="218"/>
        <v>33</v>
      </c>
      <c r="CB143" s="582">
        <f t="shared" si="243"/>
        <v>-50</v>
      </c>
      <c r="CC143">
        <f t="shared" si="244"/>
        <v>-50</v>
      </c>
    </row>
    <row r="144" spans="5:81" x14ac:dyDescent="0.25">
      <c r="E144" s="177">
        <v>34</v>
      </c>
      <c r="F144" s="224">
        <f t="shared" si="245"/>
        <v>3.4000000000000002E-2</v>
      </c>
      <c r="G144" s="224">
        <f t="shared" si="226"/>
        <v>3.4000000000000002E-2</v>
      </c>
      <c r="H144" s="224">
        <f t="shared" si="227"/>
        <v>0.2142</v>
      </c>
      <c r="I144" s="224">
        <f t="shared" si="228"/>
        <v>0.51</v>
      </c>
      <c r="J144" s="560">
        <f t="shared" si="163"/>
        <v>10</v>
      </c>
      <c r="K144" s="455">
        <f t="shared" si="164"/>
        <v>13.1</v>
      </c>
      <c r="L144" s="455">
        <f t="shared" si="165"/>
        <v>23.1</v>
      </c>
      <c r="M144" s="455"/>
      <c r="N144" s="224">
        <f t="shared" si="166"/>
        <v>0.5670995670995671</v>
      </c>
      <c r="O144" s="179">
        <f t="shared" si="229"/>
        <v>1.0944622279129324</v>
      </c>
      <c r="P144" s="179">
        <f t="shared" si="230"/>
        <v>2.6058624474117433</v>
      </c>
      <c r="Q144" s="224">
        <f t="shared" si="169"/>
        <v>0.17372416316078293</v>
      </c>
      <c r="R144" s="224">
        <f t="shared" si="231"/>
        <v>7.2964148527528819E-2</v>
      </c>
      <c r="S144" s="224">
        <f t="shared" si="232"/>
        <v>6.3</v>
      </c>
      <c r="T144" s="224">
        <f t="shared" si="233"/>
        <v>0.28378320610687019</v>
      </c>
      <c r="U144" s="224">
        <f t="shared" si="173"/>
        <v>1.5608076335877863</v>
      </c>
      <c r="V144" s="224">
        <f t="shared" si="174"/>
        <v>1.1914562088456384</v>
      </c>
      <c r="W144" s="204">
        <f t="shared" si="175"/>
        <v>350</v>
      </c>
      <c r="X144" s="455">
        <f t="shared" si="176"/>
        <v>350</v>
      </c>
      <c r="Z144" s="224">
        <f t="shared" si="177"/>
        <v>0.29459717771406085</v>
      </c>
      <c r="AA144" s="180">
        <f t="shared" si="178"/>
        <v>1.2368583797155226</v>
      </c>
      <c r="AB144" s="180">
        <f t="shared" si="234"/>
        <v>3.7720509310379111E-2</v>
      </c>
      <c r="AC144" s="180"/>
      <c r="AD144" s="180">
        <f t="shared" si="180"/>
        <v>1.217557251908397</v>
      </c>
      <c r="AE144" s="564">
        <f t="shared" si="235"/>
        <v>325.55965635632691</v>
      </c>
      <c r="AF144" s="547">
        <f t="shared" si="236"/>
        <v>3.6552440597785188E-2</v>
      </c>
      <c r="AH144" s="180">
        <f t="shared" si="237"/>
        <v>0.27430194757157383</v>
      </c>
      <c r="AI144" s="180">
        <f t="shared" si="238"/>
        <v>0.28999999999999998</v>
      </c>
      <c r="AJ144" s="180">
        <f t="shared" si="239"/>
        <v>1.1860340893464725</v>
      </c>
      <c r="AL144" s="564">
        <f t="shared" si="240"/>
        <v>34</v>
      </c>
      <c r="AM144" s="473">
        <f t="shared" si="241"/>
        <v>325.55965635632691</v>
      </c>
      <c r="AO144" s="473">
        <f t="shared" si="188"/>
        <v>34</v>
      </c>
      <c r="AP144" s="473">
        <f t="shared" si="189"/>
        <v>325.55965635632691</v>
      </c>
      <c r="AR144" s="5">
        <f t="shared" si="225"/>
        <v>3.0716336636794281</v>
      </c>
      <c r="AS144" s="5">
        <f t="shared" si="222"/>
        <v>1.5949999999999998</v>
      </c>
      <c r="AT144" s="5">
        <f t="shared" si="223"/>
        <v>1.4766336636794284</v>
      </c>
      <c r="AU144" s="180">
        <f t="shared" si="224"/>
        <v>0.51926765188834134</v>
      </c>
      <c r="AW144" s="5">
        <f t="shared" si="193"/>
        <v>0.86079365079365078</v>
      </c>
      <c r="AX144" s="5">
        <f t="shared" si="194"/>
        <v>0.36153333333333332</v>
      </c>
      <c r="AY144" s="5">
        <f t="shared" si="195"/>
        <v>2.9286567662975323E-2</v>
      </c>
      <c r="AZ144" s="5"/>
      <c r="BA144" s="180">
        <f t="shared" si="196"/>
        <v>0.12065157758853867</v>
      </c>
      <c r="BB144" s="180">
        <f t="shared" si="197"/>
        <v>6.8672045775972995E-2</v>
      </c>
      <c r="BC144" s="180">
        <f t="shared" si="198"/>
        <v>7.0226682253336947E-2</v>
      </c>
      <c r="BD144" s="180"/>
      <c r="BE144" s="547">
        <f t="shared" si="199"/>
        <v>5.0948811111111081E-3</v>
      </c>
      <c r="BF144" s="547">
        <f t="shared" si="200"/>
        <v>2.180924137931034E-2</v>
      </c>
      <c r="BG144" s="547">
        <f t="shared" si="201"/>
        <v>4.0694957044540864E-3</v>
      </c>
      <c r="BH144" s="547">
        <f t="shared" si="202"/>
        <v>9.9890085731272268E-3</v>
      </c>
      <c r="BI144">
        <f t="shared" si="203"/>
        <v>2.8999999999999998E-3</v>
      </c>
      <c r="BJ144" s="473">
        <f t="shared" si="204"/>
        <v>43.862626768002762</v>
      </c>
      <c r="BK144" s="180">
        <f t="shared" si="205"/>
        <v>1.1900000000000001E-2</v>
      </c>
      <c r="BL144" s="180">
        <f t="shared" si="206"/>
        <v>1.1900000000000001E-2</v>
      </c>
      <c r="BM144" s="547"/>
      <c r="BO144" s="473">
        <f t="shared" si="207"/>
        <v>23.8</v>
      </c>
      <c r="BP144" s="547">
        <f t="shared" si="208"/>
        <v>1.6012483492063483E-3</v>
      </c>
      <c r="BQ144" s="547">
        <f t="shared" si="209"/>
        <v>1.6505474548700658E-4</v>
      </c>
      <c r="BR144" s="547">
        <f t="shared" si="210"/>
        <v>1.4795360700933452E-4</v>
      </c>
      <c r="BS144" s="547">
        <f t="shared" si="211"/>
        <v>4.3305339986753526E-3</v>
      </c>
      <c r="BT144" s="657">
        <f t="shared" si="242"/>
        <v>2.7379567099567095E-2</v>
      </c>
      <c r="BU144" s="473">
        <f t="shared" si="213"/>
        <v>33.624357799945138</v>
      </c>
      <c r="BV144" s="180">
        <f t="shared" si="214"/>
        <v>0.10128698456794789</v>
      </c>
      <c r="BW144" s="5">
        <f t="shared" si="215"/>
        <v>0.72419999999999995</v>
      </c>
      <c r="BX144" s="180">
        <f t="shared" si="216"/>
        <v>0.8773003251880942</v>
      </c>
      <c r="BY144" s="5">
        <f t="shared" si="217"/>
        <v>87.730032518809423</v>
      </c>
      <c r="BZ144">
        <f t="shared" si="218"/>
        <v>34</v>
      </c>
      <c r="CB144" s="582">
        <f t="shared" si="243"/>
        <v>-50</v>
      </c>
      <c r="CC144">
        <f t="shared" si="244"/>
        <v>-50</v>
      </c>
    </row>
    <row r="145" spans="5:81" x14ac:dyDescent="0.25">
      <c r="E145" s="177">
        <v>35</v>
      </c>
      <c r="F145" s="224">
        <f t="shared" si="245"/>
        <v>3.4999999999999996E-2</v>
      </c>
      <c r="G145" s="224">
        <f t="shared" si="226"/>
        <v>3.4999999999999996E-2</v>
      </c>
      <c r="H145" s="224">
        <f t="shared" si="227"/>
        <v>0.22049999999999997</v>
      </c>
      <c r="I145" s="224">
        <f t="shared" si="228"/>
        <v>0.52499999999999991</v>
      </c>
      <c r="J145" s="560">
        <f t="shared" si="163"/>
        <v>10</v>
      </c>
      <c r="K145" s="455">
        <f t="shared" si="164"/>
        <v>13.1</v>
      </c>
      <c r="L145" s="455">
        <f t="shared" si="165"/>
        <v>23.1</v>
      </c>
      <c r="M145" s="455"/>
      <c r="N145" s="224">
        <f t="shared" si="166"/>
        <v>0.5670995670995671</v>
      </c>
      <c r="O145" s="179">
        <f t="shared" si="229"/>
        <v>1.0944622279129324</v>
      </c>
      <c r="P145" s="179">
        <f t="shared" si="230"/>
        <v>2.6058624474117433</v>
      </c>
      <c r="Q145" s="224">
        <f t="shared" si="169"/>
        <v>0.17372416316078293</v>
      </c>
      <c r="R145" s="224">
        <f t="shared" si="231"/>
        <v>7.2964148527528819E-2</v>
      </c>
      <c r="S145" s="224">
        <f t="shared" si="232"/>
        <v>6.3</v>
      </c>
      <c r="T145" s="224">
        <f t="shared" si="233"/>
        <v>0.29212977099236637</v>
      </c>
      <c r="U145" s="224">
        <f t="shared" si="173"/>
        <v>1.606713740458015</v>
      </c>
      <c r="V145" s="224">
        <f t="shared" si="174"/>
        <v>1.2264990385175687</v>
      </c>
      <c r="W145" s="204">
        <f t="shared" si="175"/>
        <v>350</v>
      </c>
      <c r="X145" s="455">
        <f t="shared" si="176"/>
        <v>350</v>
      </c>
      <c r="Z145" s="224">
        <f t="shared" si="177"/>
        <v>0.29459717771406085</v>
      </c>
      <c r="AA145" s="180">
        <f t="shared" si="178"/>
        <v>1.2368583797155226</v>
      </c>
      <c r="AB145" s="180">
        <f t="shared" si="234"/>
        <v>3.7720509310379111E-2</v>
      </c>
      <c r="AC145" s="180"/>
      <c r="AD145" s="180">
        <f t="shared" si="180"/>
        <v>1.217557251908397</v>
      </c>
      <c r="AE145" s="564">
        <f t="shared" si="235"/>
        <v>335.13494036680709</v>
      </c>
      <c r="AF145" s="547">
        <f t="shared" si="236"/>
        <v>3.6552440597785188E-2</v>
      </c>
      <c r="AH145" s="180">
        <f t="shared" si="237"/>
        <v>0.27830656739384618</v>
      </c>
      <c r="AI145" s="180">
        <f t="shared" si="238"/>
        <v>0.28999999999999998</v>
      </c>
      <c r="AJ145" s="180">
        <f t="shared" si="239"/>
        <v>1.191505680209604</v>
      </c>
      <c r="AL145" s="564">
        <f t="shared" si="240"/>
        <v>34.999999999999993</v>
      </c>
      <c r="AM145" s="473">
        <f t="shared" si="241"/>
        <v>335.13494036680709</v>
      </c>
      <c r="AO145" s="473">
        <f t="shared" si="188"/>
        <v>34.999999999999993</v>
      </c>
      <c r="AP145" s="473">
        <f t="shared" si="189"/>
        <v>335.13494036680709</v>
      </c>
      <c r="AR145" s="5">
        <f t="shared" si="225"/>
        <v>2.9838727018600162</v>
      </c>
      <c r="AS145" s="5">
        <f t="shared" si="222"/>
        <v>1.5949999999999998</v>
      </c>
      <c r="AT145" s="5">
        <f t="shared" si="223"/>
        <v>1.3888727018600164</v>
      </c>
      <c r="AU145" s="180">
        <f t="shared" si="224"/>
        <v>0.53454022988505723</v>
      </c>
      <c r="AW145" s="5">
        <f t="shared" si="193"/>
        <v>0.88611111111111085</v>
      </c>
      <c r="AX145" s="5">
        <f t="shared" si="194"/>
        <v>0.37216666666666659</v>
      </c>
      <c r="AY145" s="5">
        <f t="shared" si="195"/>
        <v>2.8356150996308664E-2</v>
      </c>
      <c r="AZ145" s="5"/>
      <c r="BA145" s="180">
        <f t="shared" si="196"/>
        <v>0.1224130076603154</v>
      </c>
      <c r="BB145" s="180">
        <f t="shared" si="197"/>
        <v>6.7572406740824861E-2</v>
      </c>
      <c r="BC145" s="180">
        <f t="shared" si="198"/>
        <v>6.910214896993018E-2</v>
      </c>
      <c r="BD145" s="180"/>
      <c r="BE145" s="547">
        <f t="shared" si="199"/>
        <v>5.2447305555555533E-3</v>
      </c>
      <c r="BF145" s="547">
        <f t="shared" si="200"/>
        <v>2.2450689655172405E-2</v>
      </c>
      <c r="BG145" s="547">
        <f t="shared" si="201"/>
        <v>4.1891867545850881E-3</v>
      </c>
      <c r="BH145" s="547">
        <f t="shared" si="202"/>
        <v>1.0282802942925084E-2</v>
      </c>
      <c r="BI145">
        <f t="shared" si="203"/>
        <v>2.8999999999999998E-3</v>
      </c>
      <c r="BJ145" s="473">
        <f t="shared" si="204"/>
        <v>45.067409908238133</v>
      </c>
      <c r="BK145" s="180">
        <f t="shared" si="205"/>
        <v>1.2249999999999999E-2</v>
      </c>
      <c r="BL145" s="180">
        <f t="shared" si="206"/>
        <v>1.2249999999999999E-2</v>
      </c>
      <c r="BM145" s="547"/>
      <c r="BO145" s="473">
        <f t="shared" si="207"/>
        <v>24.499999999999996</v>
      </c>
      <c r="BP145" s="547">
        <f t="shared" si="208"/>
        <v>1.6483438888888881E-3</v>
      </c>
      <c r="BQ145" s="547">
        <f t="shared" si="209"/>
        <v>1.5981105534616156E-4</v>
      </c>
      <c r="BR145" s="547">
        <f t="shared" si="210"/>
        <v>1.4325320976787267E-4</v>
      </c>
      <c r="BS145" s="547">
        <f t="shared" si="211"/>
        <v>4.656013928415176E-3</v>
      </c>
      <c r="BT145" s="657">
        <f t="shared" si="242"/>
        <v>2.8184848484848479E-2</v>
      </c>
      <c r="BU145" s="473">
        <f t="shared" si="213"/>
        <v>34.792270567266584</v>
      </c>
      <c r="BV145" s="180">
        <f t="shared" si="214"/>
        <v>0.10435968047550473</v>
      </c>
      <c r="BW145" s="5">
        <f t="shared" si="215"/>
        <v>0.74549999999999983</v>
      </c>
      <c r="BX145" s="180">
        <f t="shared" si="216"/>
        <v>0.87720363387857803</v>
      </c>
      <c r="BY145" s="5">
        <f t="shared" si="217"/>
        <v>87.720363387857802</v>
      </c>
      <c r="BZ145">
        <f t="shared" si="218"/>
        <v>34.999999999999993</v>
      </c>
      <c r="CB145" s="582">
        <f t="shared" si="243"/>
        <v>-50</v>
      </c>
      <c r="CC145">
        <f t="shared" si="244"/>
        <v>-50</v>
      </c>
    </row>
    <row r="146" spans="5:81" x14ac:dyDescent="0.25">
      <c r="E146" s="177">
        <v>36</v>
      </c>
      <c r="F146" s="224">
        <f t="shared" si="245"/>
        <v>3.5999999999999997E-2</v>
      </c>
      <c r="G146" s="224">
        <f t="shared" si="226"/>
        <v>3.5999999999999997E-2</v>
      </c>
      <c r="H146" s="224">
        <f t="shared" si="227"/>
        <v>0.22679999999999997</v>
      </c>
      <c r="I146" s="224">
        <f t="shared" si="228"/>
        <v>0.53999999999999992</v>
      </c>
      <c r="J146" s="560">
        <f t="shared" si="163"/>
        <v>10</v>
      </c>
      <c r="K146" s="455">
        <f t="shared" si="164"/>
        <v>13.1</v>
      </c>
      <c r="L146" s="455">
        <f t="shared" si="165"/>
        <v>23.1</v>
      </c>
      <c r="M146" s="455"/>
      <c r="N146" s="224">
        <f t="shared" si="166"/>
        <v>0.5670995670995671</v>
      </c>
      <c r="O146" s="179">
        <f t="shared" si="229"/>
        <v>1.0944622279129324</v>
      </c>
      <c r="P146" s="179">
        <f t="shared" si="230"/>
        <v>2.6058624474117433</v>
      </c>
      <c r="Q146" s="224">
        <f t="shared" si="169"/>
        <v>0.17372416316078293</v>
      </c>
      <c r="R146" s="224">
        <f t="shared" si="231"/>
        <v>7.2964148527528819E-2</v>
      </c>
      <c r="S146" s="224">
        <f t="shared" si="232"/>
        <v>6.3</v>
      </c>
      <c r="T146" s="224">
        <f t="shared" si="233"/>
        <v>0.30047633587786254</v>
      </c>
      <c r="U146" s="224">
        <f t="shared" si="173"/>
        <v>1.6526198473282441</v>
      </c>
      <c r="V146" s="224">
        <f t="shared" si="174"/>
        <v>1.2615418681894992</v>
      </c>
      <c r="W146" s="204">
        <f t="shared" si="175"/>
        <v>350</v>
      </c>
      <c r="X146" s="455">
        <f t="shared" si="176"/>
        <v>343.15185553192111</v>
      </c>
      <c r="Z146" s="224">
        <f t="shared" si="177"/>
        <v>0.29459717771406085</v>
      </c>
      <c r="AA146" s="180">
        <f t="shared" si="178"/>
        <v>1.2368583797155226</v>
      </c>
      <c r="AB146" s="180">
        <f t="shared" si="234"/>
        <v>3.7720509310379111E-2</v>
      </c>
      <c r="AC146" s="180"/>
      <c r="AD146" s="180">
        <f t="shared" si="180"/>
        <v>1.217557251908397</v>
      </c>
      <c r="AE146" s="564">
        <f t="shared" si="235"/>
        <v>344.71022437728732</v>
      </c>
      <c r="AF146" s="547">
        <f t="shared" si="236"/>
        <v>3.6552440597785188E-2</v>
      </c>
      <c r="AH146" s="180">
        <f t="shared" si="237"/>
        <v>0.28225437546215726</v>
      </c>
      <c r="AI146" s="180">
        <f t="shared" si="238"/>
        <v>0.28999999999999998</v>
      </c>
      <c r="AJ146" s="180">
        <f t="shared" si="239"/>
        <v>1.1969772710727355</v>
      </c>
      <c r="AL146" s="564">
        <f t="shared" si="240"/>
        <v>36</v>
      </c>
      <c r="AM146" s="473">
        <f t="shared" si="241"/>
        <v>344.71022437728732</v>
      </c>
      <c r="AO146" s="473">
        <f t="shared" si="188"/>
        <v>36</v>
      </c>
      <c r="AP146" s="473">
        <f t="shared" si="189"/>
        <v>344.71022437728732</v>
      </c>
      <c r="AR146" s="5">
        <f t="shared" si="225"/>
        <v>2.9009873490305709</v>
      </c>
      <c r="AS146" s="5">
        <f t="shared" si="222"/>
        <v>1.5949999999999998</v>
      </c>
      <c r="AT146" s="5">
        <f t="shared" si="223"/>
        <v>1.3059873490305711</v>
      </c>
      <c r="AU146" s="180">
        <f t="shared" si="224"/>
        <v>0.54981280788177322</v>
      </c>
      <c r="AW146" s="5">
        <f t="shared" si="193"/>
        <v>0.91142857142857114</v>
      </c>
      <c r="AX146" s="5">
        <f t="shared" si="194"/>
        <v>0.38279999999999992</v>
      </c>
      <c r="AY146" s="5">
        <f t="shared" si="195"/>
        <v>2.7425734329641981E-2</v>
      </c>
      <c r="AZ146" s="5"/>
      <c r="BA146" s="180">
        <f t="shared" si="196"/>
        <v>0.12414944910987606</v>
      </c>
      <c r="BB146" s="180">
        <f t="shared" si="197"/>
        <v>6.6454574217563178E-2</v>
      </c>
      <c r="BC146" s="180">
        <f t="shared" si="198"/>
        <v>6.7959010323971711E-2</v>
      </c>
      <c r="BD146" s="180"/>
      <c r="BE146" s="547">
        <f t="shared" si="199"/>
        <v>5.3945799999999969E-3</v>
      </c>
      <c r="BF146" s="547">
        <f t="shared" si="200"/>
        <v>2.3092137931034477E-2</v>
      </c>
      <c r="BG146" s="547">
        <f t="shared" si="201"/>
        <v>4.3088778047160907E-3</v>
      </c>
      <c r="BH146" s="547">
        <f t="shared" si="202"/>
        <v>1.0576597312722947E-2</v>
      </c>
      <c r="BI146">
        <f t="shared" si="203"/>
        <v>2.8999999999999998E-3</v>
      </c>
      <c r="BJ146" s="473">
        <f t="shared" si="204"/>
        <v>46.272193048473504</v>
      </c>
      <c r="BK146" s="180">
        <f t="shared" si="205"/>
        <v>1.2599999999999998E-2</v>
      </c>
      <c r="BL146" s="180">
        <f t="shared" si="206"/>
        <v>1.2599999999999998E-2</v>
      </c>
      <c r="BM146" s="547"/>
      <c r="BO146" s="473">
        <f t="shared" si="207"/>
        <v>25.199999999999996</v>
      </c>
      <c r="BP146" s="547">
        <f t="shared" si="208"/>
        <v>1.6954394285714277E-3</v>
      </c>
      <c r="BQ146" s="547">
        <f t="shared" si="209"/>
        <v>1.5456736520531647E-4</v>
      </c>
      <c r="BR146" s="547">
        <f t="shared" si="210"/>
        <v>1.385528125264108E-4</v>
      </c>
      <c r="BS146" s="547">
        <f t="shared" si="211"/>
        <v>4.9957467195930359E-3</v>
      </c>
      <c r="BT146" s="657">
        <f t="shared" si="242"/>
        <v>2.8990129870129867E-2</v>
      </c>
      <c r="BU146" s="473">
        <f t="shared" si="213"/>
        <v>35.974436196026055</v>
      </c>
      <c r="BV146" s="180">
        <f t="shared" si="214"/>
        <v>0.10744662924449955</v>
      </c>
      <c r="BW146" s="5">
        <f t="shared" si="215"/>
        <v>0.76679999999999993</v>
      </c>
      <c r="BX146" s="180">
        <f t="shared" si="216"/>
        <v>0.87709803429570887</v>
      </c>
      <c r="BY146" s="5">
        <f t="shared" si="217"/>
        <v>87.709803429570883</v>
      </c>
      <c r="BZ146">
        <f t="shared" si="218"/>
        <v>35.999999999999993</v>
      </c>
      <c r="CB146" s="582">
        <f t="shared" si="243"/>
        <v>-50</v>
      </c>
      <c r="CC146">
        <f t="shared" si="244"/>
        <v>-50</v>
      </c>
    </row>
    <row r="147" spans="5:81" x14ac:dyDescent="0.25">
      <c r="E147" s="177">
        <v>37</v>
      </c>
      <c r="F147" s="224">
        <f t="shared" si="245"/>
        <v>3.6999999999999998E-2</v>
      </c>
      <c r="G147" s="224">
        <f t="shared" si="226"/>
        <v>3.6999999999999998E-2</v>
      </c>
      <c r="H147" s="224">
        <f t="shared" si="227"/>
        <v>0.23309999999999997</v>
      </c>
      <c r="I147" s="224">
        <f t="shared" si="228"/>
        <v>0.55499999999999994</v>
      </c>
      <c r="J147" s="560">
        <f t="shared" si="163"/>
        <v>10</v>
      </c>
      <c r="K147" s="455">
        <f t="shared" si="164"/>
        <v>13.1</v>
      </c>
      <c r="L147" s="455">
        <f t="shared" si="165"/>
        <v>23.1</v>
      </c>
      <c r="M147" s="455"/>
      <c r="N147" s="224">
        <f t="shared" si="166"/>
        <v>0.5670995670995671</v>
      </c>
      <c r="O147" s="179">
        <f t="shared" si="229"/>
        <v>1.0944622279129324</v>
      </c>
      <c r="P147" s="179">
        <f t="shared" si="230"/>
        <v>2.6058624474117433</v>
      </c>
      <c r="Q147" s="224">
        <f t="shared" si="169"/>
        <v>0.17372416316078293</v>
      </c>
      <c r="R147" s="224">
        <f t="shared" si="231"/>
        <v>7.2964148527528819E-2</v>
      </c>
      <c r="S147" s="224">
        <f t="shared" si="232"/>
        <v>6.3</v>
      </c>
      <c r="T147" s="224">
        <f t="shared" si="233"/>
        <v>0.30882290076335872</v>
      </c>
      <c r="U147" s="224">
        <f t="shared" si="173"/>
        <v>1.698525954198473</v>
      </c>
      <c r="V147" s="224">
        <f t="shared" si="174"/>
        <v>1.2965846978614299</v>
      </c>
      <c r="W147" s="204">
        <f t="shared" si="175"/>
        <v>350</v>
      </c>
      <c r="X147" s="455">
        <f t="shared" si="176"/>
        <v>333.87748105808538</v>
      </c>
      <c r="Z147" s="224">
        <f t="shared" si="177"/>
        <v>0.29459717771406085</v>
      </c>
      <c r="AA147" s="180">
        <f t="shared" si="178"/>
        <v>1.2368583797155226</v>
      </c>
      <c r="AB147" s="180">
        <f t="shared" si="234"/>
        <v>3.7720509310379111E-2</v>
      </c>
      <c r="AC147" s="180"/>
      <c r="AD147" s="180">
        <f t="shared" si="180"/>
        <v>1.217557251908397</v>
      </c>
      <c r="AE147" s="564">
        <f t="shared" si="235"/>
        <v>354.28550838776755</v>
      </c>
      <c r="AF147" s="547">
        <f t="shared" si="236"/>
        <v>3.6552440597785188E-2</v>
      </c>
      <c r="AH147" s="180">
        <f t="shared" si="237"/>
        <v>0.28614772317898929</v>
      </c>
      <c r="AI147" s="180">
        <f t="shared" si="238"/>
        <v>0.28999999999999998</v>
      </c>
      <c r="AJ147" s="180">
        <f t="shared" si="239"/>
        <v>1.2</v>
      </c>
      <c r="AL147" s="564">
        <f t="shared" si="240"/>
        <v>37</v>
      </c>
      <c r="AM147" s="473">
        <f t="shared" si="241"/>
        <v>333.87748105808538</v>
      </c>
      <c r="AO147" s="473">
        <f t="shared" si="188"/>
        <v>37</v>
      </c>
      <c r="AP147" s="473">
        <f t="shared" si="189"/>
        <v>333.87748105808538</v>
      </c>
      <c r="AR147" s="5">
        <f t="shared" si="225"/>
        <v>2.9951106520599029</v>
      </c>
      <c r="AS147" s="5">
        <f t="shared" si="222"/>
        <v>1.5949999999999998</v>
      </c>
      <c r="AT147" s="5">
        <f t="shared" si="223"/>
        <v>1.4001106520599031</v>
      </c>
      <c r="AU147" s="180">
        <f t="shared" si="224"/>
        <v>0.53253458228764616</v>
      </c>
      <c r="AW147" s="5">
        <f t="shared" si="193"/>
        <v>0.93674603174603166</v>
      </c>
      <c r="AX147" s="5">
        <f t="shared" si="194"/>
        <v>0.39343333333333325</v>
      </c>
      <c r="AY147" s="5">
        <f t="shared" si="195"/>
        <v>3.0219054906959569E-2</v>
      </c>
      <c r="AZ147" s="5"/>
      <c r="BA147" s="180">
        <f t="shared" si="196"/>
        <v>0.12218313900369809</v>
      </c>
      <c r="BB147" s="180">
        <f t="shared" si="197"/>
        <v>6.7717833653223064E-2</v>
      </c>
      <c r="BC147" s="180">
        <f t="shared" si="198"/>
        <v>6.9250868138737098E-2</v>
      </c>
      <c r="BD147" s="180"/>
      <c r="BE147" s="547">
        <f t="shared" si="199"/>
        <v>5.2250518098789535E-3</v>
      </c>
      <c r="BF147" s="547">
        <f t="shared" si="200"/>
        <v>2.2366452456081137E-2</v>
      </c>
      <c r="BG147" s="547">
        <f t="shared" si="201"/>
        <v>4.1734685132260663E-3</v>
      </c>
      <c r="BH147" s="547">
        <f t="shared" si="202"/>
        <v>1.0244220853375783E-2</v>
      </c>
      <c r="BI147">
        <f t="shared" si="203"/>
        <v>2.8999999999999998E-3</v>
      </c>
      <c r="BJ147" s="473">
        <f t="shared" si="204"/>
        <v>44.909193632561937</v>
      </c>
      <c r="BK147" s="180">
        <f t="shared" si="205"/>
        <v>1.2949999999999998E-2</v>
      </c>
      <c r="BL147" s="180">
        <f t="shared" si="206"/>
        <v>1.2949999999999998E-2</v>
      </c>
      <c r="BM147" s="547"/>
      <c r="BO147" s="473">
        <f t="shared" si="207"/>
        <v>25.899999999999995</v>
      </c>
      <c r="BP147" s="547">
        <f t="shared" si="208"/>
        <v>1.6421591402476711E-3</v>
      </c>
      <c r="BQ147" s="547">
        <f t="shared" si="209"/>
        <v>1.6049967481399568E-4</v>
      </c>
      <c r="BR147" s="547">
        <f t="shared" si="210"/>
        <v>1.4387048213906258E-4</v>
      </c>
      <c r="BS147" s="547">
        <f t="shared" si="211"/>
        <v>4.6124621977020816E-3</v>
      </c>
      <c r="BT147" s="657">
        <f t="shared" si="242"/>
        <v>2.8079096156984982E-2</v>
      </c>
      <c r="BU147" s="473">
        <f t="shared" si="213"/>
        <v>34.638087651887794</v>
      </c>
      <c r="BV147" s="180">
        <f t="shared" si="214"/>
        <v>0.10544728128444972</v>
      </c>
      <c r="BW147" s="5">
        <f t="shared" si="215"/>
        <v>0.78809999999999991</v>
      </c>
      <c r="BX147" s="180">
        <f t="shared" si="216"/>
        <v>0.88199026118363644</v>
      </c>
      <c r="BY147" s="5">
        <f t="shared" si="217"/>
        <v>88.199026118363648</v>
      </c>
      <c r="BZ147">
        <f t="shared" si="218"/>
        <v>36.999999999999993</v>
      </c>
      <c r="CB147" s="582">
        <f t="shared" si="243"/>
        <v>-50</v>
      </c>
      <c r="CC147">
        <f t="shared" si="244"/>
        <v>-50</v>
      </c>
    </row>
    <row r="148" spans="5:81" x14ac:dyDescent="0.25">
      <c r="E148" s="177">
        <v>38</v>
      </c>
      <c r="F148" s="224">
        <f t="shared" si="245"/>
        <v>3.8000000000000006E-2</v>
      </c>
      <c r="G148" s="224">
        <f t="shared" si="226"/>
        <v>3.8000000000000006E-2</v>
      </c>
      <c r="H148" s="224">
        <f t="shared" si="227"/>
        <v>0.23940000000000003</v>
      </c>
      <c r="I148" s="224">
        <f t="shared" si="228"/>
        <v>0.57000000000000006</v>
      </c>
      <c r="J148" s="560">
        <f t="shared" si="163"/>
        <v>10</v>
      </c>
      <c r="K148" s="455">
        <f t="shared" si="164"/>
        <v>13.1</v>
      </c>
      <c r="L148" s="455">
        <f t="shared" si="165"/>
        <v>23.1</v>
      </c>
      <c r="M148" s="455"/>
      <c r="N148" s="224">
        <f t="shared" si="166"/>
        <v>0.5670995670995671</v>
      </c>
      <c r="O148" s="179">
        <f t="shared" si="229"/>
        <v>1.0944622279129324</v>
      </c>
      <c r="P148" s="179">
        <f t="shared" si="230"/>
        <v>2.6058624474117433</v>
      </c>
      <c r="Q148" s="224">
        <f t="shared" si="169"/>
        <v>0.17372416316078293</v>
      </c>
      <c r="R148" s="224">
        <f t="shared" si="231"/>
        <v>7.2964148527528819E-2</v>
      </c>
      <c r="S148" s="224">
        <f t="shared" si="232"/>
        <v>6.3</v>
      </c>
      <c r="T148" s="224">
        <f t="shared" si="233"/>
        <v>0.31716946564885501</v>
      </c>
      <c r="U148" s="224">
        <f t="shared" si="173"/>
        <v>1.7444320610687027</v>
      </c>
      <c r="V148" s="224">
        <f t="shared" si="174"/>
        <v>1.3316275275333609</v>
      </c>
      <c r="W148" s="204">
        <f t="shared" si="175"/>
        <v>350</v>
      </c>
      <c r="X148" s="455">
        <f t="shared" si="176"/>
        <v>325.09123155655669</v>
      </c>
      <c r="Z148" s="224">
        <f t="shared" si="177"/>
        <v>0.29459717771406085</v>
      </c>
      <c r="AA148" s="180">
        <f t="shared" si="178"/>
        <v>1.2368583797155226</v>
      </c>
      <c r="AB148" s="180">
        <f t="shared" si="234"/>
        <v>3.7720509310379111E-2</v>
      </c>
      <c r="AC148" s="180"/>
      <c r="AD148" s="180">
        <f t="shared" si="180"/>
        <v>1.217557251908397</v>
      </c>
      <c r="AE148" s="564">
        <f t="shared" si="235"/>
        <v>363.86079239824778</v>
      </c>
      <c r="AF148" s="547">
        <f t="shared" si="236"/>
        <v>3.6552440597785188E-2</v>
      </c>
      <c r="AH148" s="180">
        <f t="shared" si="237"/>
        <v>0.28998880408303096</v>
      </c>
      <c r="AI148" s="180">
        <f t="shared" si="238"/>
        <v>0.31716946564885501</v>
      </c>
      <c r="AJ148" s="180">
        <f t="shared" si="239"/>
        <v>1.2201255301102629</v>
      </c>
      <c r="AL148" s="564">
        <f t="shared" si="240"/>
        <v>38.000000000000007</v>
      </c>
      <c r="AM148" s="473">
        <f t="shared" si="241"/>
        <v>325.09123155655669</v>
      </c>
      <c r="AO148" s="473">
        <f t="shared" si="188"/>
        <v>38.000000000000007</v>
      </c>
      <c r="AP148" s="473">
        <f t="shared" si="189"/>
        <v>325.09123155655669</v>
      </c>
      <c r="AR148" s="5">
        <f t="shared" si="225"/>
        <v>3.0760595886020639</v>
      </c>
      <c r="AS148" s="5">
        <f t="shared" si="222"/>
        <v>1.7444320610687027</v>
      </c>
      <c r="AT148" s="5">
        <f t="shared" si="223"/>
        <v>1.3316275275333611</v>
      </c>
      <c r="AU148" s="180">
        <f t="shared" si="224"/>
        <v>0.5670995670995671</v>
      </c>
      <c r="AW148" s="5">
        <f t="shared" si="193"/>
        <v>1.05219711620017</v>
      </c>
      <c r="AX148" s="5">
        <f t="shared" si="194"/>
        <v>0.44192278880407149</v>
      </c>
      <c r="AY148" s="5">
        <f t="shared" si="195"/>
        <v>2.9517743526989503E-2</v>
      </c>
      <c r="AZ148" s="5"/>
      <c r="BA148" s="180">
        <f t="shared" si="196"/>
        <v>0.13789877272200721</v>
      </c>
      <c r="BB148" s="180">
        <f t="shared" si="197"/>
        <v>7.1271466474696329E-2</v>
      </c>
      <c r="BC148" s="180">
        <f t="shared" si="198"/>
        <v>7.2884950102929114E-2</v>
      </c>
      <c r="BD148" s="180"/>
      <c r="BE148" s="547">
        <f t="shared" si="199"/>
        <v>6.6556250313825295E-3</v>
      </c>
      <c r="BF148" s="547">
        <f t="shared" si="200"/>
        <v>2.3818181818181818E-2</v>
      </c>
      <c r="BG148" s="547">
        <f t="shared" si="201"/>
        <v>4.0636403944569587E-3</v>
      </c>
      <c r="BH148" s="547">
        <f t="shared" si="202"/>
        <v>9.9746360940764171E-3</v>
      </c>
      <c r="BI148">
        <f t="shared" si="203"/>
        <v>2.8999999999999998E-3</v>
      </c>
      <c r="BJ148" s="473">
        <f t="shared" si="204"/>
        <v>47.412083338097723</v>
      </c>
      <c r="BK148" s="180">
        <f t="shared" si="205"/>
        <v>1.3300000000000001E-2</v>
      </c>
      <c r="BL148" s="180">
        <f t="shared" si="206"/>
        <v>1.3300000000000001E-2</v>
      </c>
      <c r="BM148" s="547"/>
      <c r="BO148" s="473">
        <f t="shared" si="207"/>
        <v>26.6</v>
      </c>
      <c r="BP148" s="547">
        <f t="shared" si="208"/>
        <v>2.091767867005938E-3</v>
      </c>
      <c r="BQ148" s="547">
        <f t="shared" si="209"/>
        <v>1.7778676767088171E-4</v>
      </c>
      <c r="BR148" s="547">
        <f t="shared" si="210"/>
        <v>1.5936647854519401E-4</v>
      </c>
      <c r="BS148" s="547">
        <f t="shared" si="211"/>
        <v>5.3977351343344575E-3</v>
      </c>
      <c r="BT148" s="657">
        <f t="shared" si="242"/>
        <v>3.270303030303031E-2</v>
      </c>
      <c r="BU148" s="473">
        <f t="shared" si="213"/>
        <v>40.529686550586781</v>
      </c>
      <c r="BV148" s="180">
        <f t="shared" si="214"/>
        <v>0.1145417698886845</v>
      </c>
      <c r="BW148" s="5">
        <f t="shared" si="215"/>
        <v>0.80940000000000012</v>
      </c>
      <c r="BX148" s="180">
        <f t="shared" si="216"/>
        <v>0.87602923298674507</v>
      </c>
      <c r="BY148" s="5">
        <f t="shared" si="217"/>
        <v>87.602923298674511</v>
      </c>
      <c r="BZ148">
        <f t="shared" si="218"/>
        <v>38.000000000000007</v>
      </c>
      <c r="CB148" s="582">
        <f t="shared" si="243"/>
        <v>-50</v>
      </c>
      <c r="CC148">
        <f t="shared" si="244"/>
        <v>-50</v>
      </c>
    </row>
    <row r="149" spans="5:81" x14ac:dyDescent="0.25">
      <c r="E149" s="177">
        <v>39</v>
      </c>
      <c r="F149" s="224">
        <f t="shared" si="245"/>
        <v>3.9000000000000007E-2</v>
      </c>
      <c r="G149" s="224">
        <f t="shared" si="226"/>
        <v>3.9000000000000007E-2</v>
      </c>
      <c r="H149" s="224">
        <f t="shared" si="227"/>
        <v>0.24570000000000003</v>
      </c>
      <c r="I149" s="224">
        <f t="shared" si="228"/>
        <v>0.58500000000000008</v>
      </c>
      <c r="J149" s="560">
        <f t="shared" si="163"/>
        <v>10</v>
      </c>
      <c r="K149" s="455">
        <f t="shared" si="164"/>
        <v>13.1</v>
      </c>
      <c r="L149" s="455">
        <f t="shared" si="165"/>
        <v>23.1</v>
      </c>
      <c r="M149" s="455"/>
      <c r="N149" s="224">
        <f t="shared" si="166"/>
        <v>0.5670995670995671</v>
      </c>
      <c r="O149" s="179">
        <f t="shared" si="229"/>
        <v>1.0944622279129324</v>
      </c>
      <c r="P149" s="179">
        <f t="shared" si="230"/>
        <v>2.6058624474117433</v>
      </c>
      <c r="Q149" s="224">
        <f t="shared" si="169"/>
        <v>0.17372416316078293</v>
      </c>
      <c r="R149" s="224">
        <f t="shared" si="231"/>
        <v>7.2964148527528819E-2</v>
      </c>
      <c r="S149" s="224">
        <f t="shared" si="232"/>
        <v>6.3</v>
      </c>
      <c r="T149" s="224">
        <f t="shared" si="233"/>
        <v>0.32551603053435119</v>
      </c>
      <c r="U149" s="224">
        <f t="shared" si="173"/>
        <v>1.7903381679389314</v>
      </c>
      <c r="V149" s="224">
        <f t="shared" si="174"/>
        <v>1.3666703572052912</v>
      </c>
      <c r="W149" s="204">
        <f t="shared" si="175"/>
        <v>350</v>
      </c>
      <c r="X149" s="455">
        <f t="shared" si="176"/>
        <v>316.75555895254246</v>
      </c>
      <c r="Z149" s="224">
        <f t="shared" si="177"/>
        <v>0.29459717771406085</v>
      </c>
      <c r="AA149" s="180">
        <f t="shared" si="178"/>
        <v>1.2368583797155226</v>
      </c>
      <c r="AB149" s="180">
        <f t="shared" si="234"/>
        <v>3.7720509310379111E-2</v>
      </c>
      <c r="AC149" s="180"/>
      <c r="AD149" s="180">
        <f t="shared" si="180"/>
        <v>1.217557251908397</v>
      </c>
      <c r="AE149" s="564">
        <f t="shared" si="235"/>
        <v>373.43607640872796</v>
      </c>
      <c r="AF149" s="547">
        <f t="shared" si="236"/>
        <v>3.6552440597785188E-2</v>
      </c>
      <c r="AH149" s="180">
        <f t="shared" si="237"/>
        <v>0.29377966830006041</v>
      </c>
      <c r="AI149" s="180">
        <f t="shared" si="238"/>
        <v>0.32551603053435119</v>
      </c>
      <c r="AJ149" s="180">
        <f t="shared" si="239"/>
        <v>1.226308170766186</v>
      </c>
      <c r="AL149" s="564">
        <f t="shared" si="240"/>
        <v>39.000000000000007</v>
      </c>
      <c r="AM149" s="473">
        <f t="shared" si="241"/>
        <v>316.75555895254246</v>
      </c>
      <c r="AO149" s="473">
        <f t="shared" si="188"/>
        <v>39.000000000000007</v>
      </c>
      <c r="AP149" s="473">
        <f t="shared" si="189"/>
        <v>316.75555895254246</v>
      </c>
      <c r="AR149" s="5">
        <f t="shared" si="225"/>
        <v>3.157008525144223</v>
      </c>
      <c r="AS149" s="5">
        <f t="shared" si="222"/>
        <v>1.7903381679389314</v>
      </c>
      <c r="AT149" s="5">
        <f t="shared" si="223"/>
        <v>1.3666703572052916</v>
      </c>
      <c r="AU149" s="180">
        <f t="shared" si="224"/>
        <v>0.56709956709956699</v>
      </c>
      <c r="AW149" s="5">
        <f t="shared" si="193"/>
        <v>1.1083045801526719</v>
      </c>
      <c r="AX149" s="5">
        <f t="shared" si="194"/>
        <v>0.46548792366412223</v>
      </c>
      <c r="AY149" s="5">
        <f t="shared" si="195"/>
        <v>3.1091750626420379E-2</v>
      </c>
      <c r="AZ149" s="5"/>
      <c r="BA149" s="180">
        <f t="shared" si="196"/>
        <v>0.14152768779363895</v>
      </c>
      <c r="BB149" s="180">
        <f t="shared" si="197"/>
        <v>7.3147031381925187E-2</v>
      </c>
      <c r="BC149" s="180">
        <f t="shared" si="198"/>
        <v>7.4802975105637784E-2</v>
      </c>
      <c r="BD149" s="180"/>
      <c r="BE149" s="547">
        <f t="shared" si="199"/>
        <v>7.0105302442748079E-3</v>
      </c>
      <c r="BF149" s="547">
        <f t="shared" si="200"/>
        <v>2.3818181818181822E-2</v>
      </c>
      <c r="BG149" s="547">
        <f t="shared" si="201"/>
        <v>3.9594444869067809E-3</v>
      </c>
      <c r="BH149" s="547">
        <f t="shared" si="202"/>
        <v>9.7188761942283049E-3</v>
      </c>
      <c r="BI149">
        <f t="shared" si="203"/>
        <v>2.8999999999999998E-3</v>
      </c>
      <c r="BJ149" s="473">
        <f t="shared" si="204"/>
        <v>47.407032743591721</v>
      </c>
      <c r="BK149" s="180">
        <f t="shared" si="205"/>
        <v>1.3650000000000002E-2</v>
      </c>
      <c r="BL149" s="180">
        <f t="shared" si="206"/>
        <v>1.3650000000000002E-2</v>
      </c>
      <c r="BM149" s="547"/>
      <c r="BO149" s="473">
        <f t="shared" si="207"/>
        <v>27.300000000000004</v>
      </c>
      <c r="BP149" s="547">
        <f t="shared" si="208"/>
        <v>2.203309505343511E-3</v>
      </c>
      <c r="BQ149" s="547">
        <f t="shared" si="209"/>
        <v>1.872670869995922E-4</v>
      </c>
      <c r="BR149" s="547">
        <f t="shared" si="210"/>
        <v>1.6786455253963998E-4</v>
      </c>
      <c r="BS149" s="547">
        <f t="shared" si="211"/>
        <v>5.397735134334454E-3</v>
      </c>
      <c r="BT149" s="657">
        <f t="shared" si="242"/>
        <v>3.3563636363636372E-2</v>
      </c>
      <c r="BU149" s="473">
        <f t="shared" si="213"/>
        <v>41.519812642853566</v>
      </c>
      <c r="BV149" s="180">
        <f t="shared" si="214"/>
        <v>0.11622684538644532</v>
      </c>
      <c r="BW149" s="5">
        <f t="shared" si="215"/>
        <v>0.8307000000000001</v>
      </c>
      <c r="BX149" s="180">
        <f t="shared" si="216"/>
        <v>0.87725889708089055</v>
      </c>
      <c r="BY149" s="5">
        <f t="shared" si="217"/>
        <v>87.725889708089056</v>
      </c>
      <c r="BZ149">
        <f t="shared" si="218"/>
        <v>39.000000000000007</v>
      </c>
      <c r="CB149" s="582">
        <f t="shared" si="243"/>
        <v>-50</v>
      </c>
      <c r="CC149">
        <f t="shared" si="244"/>
        <v>-50</v>
      </c>
    </row>
    <row r="150" spans="5:81" x14ac:dyDescent="0.25">
      <c r="E150" s="177">
        <v>40</v>
      </c>
      <c r="F150" s="224">
        <f t="shared" si="245"/>
        <v>4.0000000000000008E-2</v>
      </c>
      <c r="G150" s="224">
        <f t="shared" si="226"/>
        <v>4.0000000000000008E-2</v>
      </c>
      <c r="H150" s="224">
        <f t="shared" si="227"/>
        <v>0.25200000000000006</v>
      </c>
      <c r="I150" s="224">
        <f t="shared" si="228"/>
        <v>0.60000000000000009</v>
      </c>
      <c r="J150" s="560">
        <f t="shared" si="163"/>
        <v>10</v>
      </c>
      <c r="K150" s="455">
        <f t="shared" si="164"/>
        <v>13.1</v>
      </c>
      <c r="L150" s="455">
        <f t="shared" si="165"/>
        <v>23.1</v>
      </c>
      <c r="M150" s="455"/>
      <c r="N150" s="224">
        <f t="shared" si="166"/>
        <v>0.5670995670995671</v>
      </c>
      <c r="O150" s="179">
        <f t="shared" si="229"/>
        <v>1.0944622279129324</v>
      </c>
      <c r="P150" s="179">
        <f t="shared" si="230"/>
        <v>2.6058624474117433</v>
      </c>
      <c r="Q150" s="224">
        <f t="shared" si="169"/>
        <v>0.17372416316078293</v>
      </c>
      <c r="R150" s="224">
        <f t="shared" si="231"/>
        <v>7.2964148527528819E-2</v>
      </c>
      <c r="S150" s="224">
        <f t="shared" si="232"/>
        <v>6.3</v>
      </c>
      <c r="T150" s="224">
        <f t="shared" si="233"/>
        <v>0.33386259541984736</v>
      </c>
      <c r="U150" s="224">
        <f t="shared" si="173"/>
        <v>1.8362442748091605</v>
      </c>
      <c r="V150" s="224">
        <f t="shared" si="174"/>
        <v>1.4017131868772219</v>
      </c>
      <c r="W150" s="204">
        <f t="shared" si="175"/>
        <v>350</v>
      </c>
      <c r="X150" s="455">
        <f t="shared" si="176"/>
        <v>308.83666997872893</v>
      </c>
      <c r="Z150" s="224">
        <f t="shared" si="177"/>
        <v>0.29459717771406085</v>
      </c>
      <c r="AA150" s="180">
        <f t="shared" si="178"/>
        <v>1.2368583797155226</v>
      </c>
      <c r="AB150" s="180">
        <f t="shared" si="234"/>
        <v>3.7720509310379111E-2</v>
      </c>
      <c r="AC150" s="180"/>
      <c r="AD150" s="180">
        <f t="shared" si="180"/>
        <v>1.217557251908397</v>
      </c>
      <c r="AE150" s="564">
        <f t="shared" si="235"/>
        <v>383.01136041920824</v>
      </c>
      <c r="AF150" s="547">
        <f t="shared" si="236"/>
        <v>3.6552440597785188E-2</v>
      </c>
      <c r="AH150" s="180">
        <f t="shared" si="237"/>
        <v>0.29752223533625266</v>
      </c>
      <c r="AI150" s="180">
        <f t="shared" si="238"/>
        <v>0.33386259541984736</v>
      </c>
      <c r="AJ150" s="180">
        <f t="shared" si="239"/>
        <v>1.2324908114221091</v>
      </c>
      <c r="AL150" s="564">
        <f t="shared" si="240"/>
        <v>40.000000000000007</v>
      </c>
      <c r="AM150" s="473">
        <f t="shared" si="241"/>
        <v>308.83666997872893</v>
      </c>
      <c r="AO150" s="473">
        <f t="shared" si="188"/>
        <v>40.000000000000007</v>
      </c>
      <c r="AP150" s="473">
        <f t="shared" si="189"/>
        <v>308.83666997872893</v>
      </c>
      <c r="AR150" s="5">
        <f t="shared" si="225"/>
        <v>3.2379574616863818</v>
      </c>
      <c r="AS150" s="5">
        <f t="shared" si="222"/>
        <v>1.8362442748091605</v>
      </c>
      <c r="AT150" s="5">
        <f t="shared" si="223"/>
        <v>1.4017131868772212</v>
      </c>
      <c r="AU150" s="180">
        <f t="shared" si="224"/>
        <v>0.56709956709956721</v>
      </c>
      <c r="AW150" s="5">
        <f t="shared" si="193"/>
        <v>1.1658693808312133</v>
      </c>
      <c r="AX150" s="5">
        <f t="shared" si="194"/>
        <v>0.4896651399491096</v>
      </c>
      <c r="AY150" s="5">
        <f t="shared" si="195"/>
        <v>3.2706641027135164E-2</v>
      </c>
      <c r="AZ150" s="5"/>
      <c r="BA150" s="180">
        <f t="shared" si="196"/>
        <v>0.14515660286527074</v>
      </c>
      <c r="BB150" s="180">
        <f t="shared" si="197"/>
        <v>7.5022596289154017E-2</v>
      </c>
      <c r="BC150" s="180">
        <f t="shared" si="198"/>
        <v>7.6721000108346427E-2</v>
      </c>
      <c r="BD150" s="180"/>
      <c r="BE150" s="547">
        <f t="shared" si="199"/>
        <v>7.3746537743850735E-3</v>
      </c>
      <c r="BF150" s="547">
        <f t="shared" si="200"/>
        <v>2.3818181818181825E-2</v>
      </c>
      <c r="BG150" s="547">
        <f t="shared" si="201"/>
        <v>3.8604583747341111E-3</v>
      </c>
      <c r="BH150" s="547">
        <f t="shared" si="202"/>
        <v>9.4759042893725991E-3</v>
      </c>
      <c r="BI150">
        <f t="shared" si="203"/>
        <v>2.8999999999999998E-3</v>
      </c>
      <c r="BJ150" s="473">
        <f t="shared" si="204"/>
        <v>47.429198256673608</v>
      </c>
      <c r="BK150" s="180">
        <f t="shared" si="205"/>
        <v>1.4000000000000002E-2</v>
      </c>
      <c r="BL150" s="180">
        <f t="shared" si="206"/>
        <v>1.4000000000000002E-2</v>
      </c>
      <c r="BM150" s="547"/>
      <c r="BO150" s="473">
        <f t="shared" si="207"/>
        <v>28.000000000000004</v>
      </c>
      <c r="BP150" s="547">
        <f t="shared" si="208"/>
        <v>2.3177483290924518E-3</v>
      </c>
      <c r="BQ150" s="547">
        <f t="shared" si="209"/>
        <v>1.9699364838878853E-4</v>
      </c>
      <c r="BR150" s="547">
        <f t="shared" si="210"/>
        <v>1.7658335572874677E-4</v>
      </c>
      <c r="BS150" s="547">
        <f t="shared" si="211"/>
        <v>5.3977351343344557E-3</v>
      </c>
      <c r="BT150" s="657">
        <f t="shared" si="242"/>
        <v>3.4424242424242434E-2</v>
      </c>
      <c r="BU150" s="473">
        <f t="shared" si="213"/>
        <v>42.513302891786878</v>
      </c>
      <c r="BV150" s="180">
        <f t="shared" si="214"/>
        <v>0.1179425011484605</v>
      </c>
      <c r="BW150" s="5">
        <f t="shared" si="215"/>
        <v>0.85200000000000009</v>
      </c>
      <c r="BX150" s="180">
        <f t="shared" si="216"/>
        <v>0.87840258468021493</v>
      </c>
      <c r="BY150" s="5">
        <f t="shared" si="217"/>
        <v>87.840258468021489</v>
      </c>
      <c r="BZ150">
        <f t="shared" si="218"/>
        <v>40.000000000000007</v>
      </c>
      <c r="CB150" s="582">
        <f t="shared" si="243"/>
        <v>-50</v>
      </c>
      <c r="CC150">
        <f t="shared" si="244"/>
        <v>-50</v>
      </c>
    </row>
    <row r="151" spans="5:81" x14ac:dyDescent="0.25">
      <c r="E151" s="177">
        <v>41</v>
      </c>
      <c r="F151" s="224">
        <f t="shared" si="245"/>
        <v>4.1000000000000002E-2</v>
      </c>
      <c r="G151" s="224">
        <f t="shared" si="226"/>
        <v>4.1000000000000002E-2</v>
      </c>
      <c r="H151" s="224">
        <f t="shared" si="227"/>
        <v>0.25830000000000003</v>
      </c>
      <c r="I151" s="224">
        <f t="shared" si="228"/>
        <v>0.61499999999999999</v>
      </c>
      <c r="J151" s="560">
        <f t="shared" si="163"/>
        <v>10</v>
      </c>
      <c r="K151" s="455">
        <f t="shared" si="164"/>
        <v>13.1</v>
      </c>
      <c r="L151" s="455">
        <f t="shared" si="165"/>
        <v>23.1</v>
      </c>
      <c r="M151" s="455"/>
      <c r="N151" s="224">
        <f t="shared" si="166"/>
        <v>0.5670995670995671</v>
      </c>
      <c r="O151" s="179">
        <f t="shared" si="229"/>
        <v>1.0944622279129324</v>
      </c>
      <c r="P151" s="179">
        <f t="shared" si="230"/>
        <v>2.6058624474117433</v>
      </c>
      <c r="Q151" s="224">
        <f t="shared" si="169"/>
        <v>0.17372416316078293</v>
      </c>
      <c r="R151" s="224">
        <f t="shared" si="231"/>
        <v>7.2964148527528819E-2</v>
      </c>
      <c r="S151" s="224">
        <f t="shared" si="232"/>
        <v>6.3</v>
      </c>
      <c r="T151" s="224">
        <f t="shared" si="233"/>
        <v>0.34220916030534348</v>
      </c>
      <c r="U151" s="224">
        <f t="shared" si="173"/>
        <v>1.8821503816793892</v>
      </c>
      <c r="V151" s="224">
        <f t="shared" si="174"/>
        <v>1.436756016549152</v>
      </c>
      <c r="W151" s="204">
        <f t="shared" si="175"/>
        <v>350</v>
      </c>
      <c r="X151" s="455">
        <f t="shared" si="176"/>
        <v>301.30406827193076</v>
      </c>
      <c r="Z151" s="224">
        <f t="shared" si="177"/>
        <v>0.29459717771406085</v>
      </c>
      <c r="AA151" s="180">
        <f t="shared" si="178"/>
        <v>1.2368583797155226</v>
      </c>
      <c r="AB151" s="180">
        <f t="shared" si="234"/>
        <v>3.7720509310379111E-2</v>
      </c>
      <c r="AC151" s="180"/>
      <c r="AD151" s="180">
        <f t="shared" si="180"/>
        <v>1.217557251908397</v>
      </c>
      <c r="AE151" s="564">
        <f t="shared" si="235"/>
        <v>392.58664442968842</v>
      </c>
      <c r="AF151" s="547">
        <f t="shared" si="236"/>
        <v>3.6552440597785188E-2</v>
      </c>
      <c r="AH151" s="180">
        <f t="shared" si="237"/>
        <v>0.30121830544053513</v>
      </c>
      <c r="AI151" s="180">
        <f t="shared" si="238"/>
        <v>0.34220916030534348</v>
      </c>
      <c r="AJ151" s="180">
        <f t="shared" si="239"/>
        <v>1.2386734520780323</v>
      </c>
      <c r="AL151" s="564">
        <f t="shared" si="240"/>
        <v>41</v>
      </c>
      <c r="AM151" s="473">
        <f t="shared" si="241"/>
        <v>301.30406827193076</v>
      </c>
      <c r="AO151" s="473">
        <f t="shared" si="188"/>
        <v>41</v>
      </c>
      <c r="AP151" s="473">
        <f t="shared" si="189"/>
        <v>301.30406827193076</v>
      </c>
      <c r="AR151" s="5">
        <f t="shared" si="225"/>
        <v>3.3189063982285405</v>
      </c>
      <c r="AS151" s="5">
        <f t="shared" si="222"/>
        <v>1.8821503816793892</v>
      </c>
      <c r="AT151" s="5">
        <f t="shared" si="223"/>
        <v>1.4367560165491513</v>
      </c>
      <c r="AU151" s="180">
        <f t="shared" si="224"/>
        <v>0.56709956709956721</v>
      </c>
      <c r="AW151" s="5">
        <f t="shared" si="193"/>
        <v>1.2248915182357931</v>
      </c>
      <c r="AX151" s="5">
        <f t="shared" si="194"/>
        <v>0.5144544376590332</v>
      </c>
      <c r="AY151" s="5">
        <f t="shared" si="195"/>
        <v>3.4362414729133872E-2</v>
      </c>
      <c r="AZ151" s="5"/>
      <c r="BA151" s="180">
        <f t="shared" si="196"/>
        <v>0.14878551793690251</v>
      </c>
      <c r="BB151" s="180">
        <f t="shared" si="197"/>
        <v>7.6898161196382861E-2</v>
      </c>
      <c r="BC151" s="180">
        <f t="shared" si="198"/>
        <v>7.8639025111055069E-2</v>
      </c>
      <c r="BD151" s="180"/>
      <c r="BE151" s="547">
        <f t="shared" si="199"/>
        <v>7.7479956217133177E-3</v>
      </c>
      <c r="BF151" s="547">
        <f t="shared" si="200"/>
        <v>2.3818181818181825E-2</v>
      </c>
      <c r="BG151" s="547">
        <f t="shared" si="201"/>
        <v>3.7663008533991345E-3</v>
      </c>
      <c r="BH151" s="547">
        <f t="shared" si="202"/>
        <v>9.2447846725586362E-3</v>
      </c>
      <c r="BI151">
        <f t="shared" si="203"/>
        <v>2.8999999999999998E-3</v>
      </c>
      <c r="BJ151" s="473">
        <f t="shared" si="204"/>
        <v>47.477262965852915</v>
      </c>
      <c r="BK151" s="180">
        <f t="shared" si="205"/>
        <v>1.435E-2</v>
      </c>
      <c r="BL151" s="180">
        <f t="shared" si="206"/>
        <v>1.435E-2</v>
      </c>
      <c r="BM151" s="547"/>
      <c r="BO151" s="473">
        <f t="shared" si="207"/>
        <v>28.7</v>
      </c>
      <c r="BP151" s="547">
        <f t="shared" si="208"/>
        <v>2.4350843382527571E-3</v>
      </c>
      <c r="BQ151" s="547">
        <f t="shared" si="209"/>
        <v>2.0696645183847093E-4</v>
      </c>
      <c r="BR151" s="547">
        <f t="shared" si="210"/>
        <v>1.855228881125145E-4</v>
      </c>
      <c r="BS151" s="547">
        <f t="shared" si="211"/>
        <v>5.3977351343344557E-3</v>
      </c>
      <c r="BT151" s="657">
        <f t="shared" si="242"/>
        <v>3.5284848484848495E-2</v>
      </c>
      <c r="BU151" s="473">
        <f t="shared" si="213"/>
        <v>43.510157297386691</v>
      </c>
      <c r="BV151" s="180">
        <f t="shared" si="214"/>
        <v>0.11968742026323961</v>
      </c>
      <c r="BW151" s="5">
        <f t="shared" si="215"/>
        <v>0.87329999999999997</v>
      </c>
      <c r="BX151" s="180">
        <f t="shared" si="216"/>
        <v>0.87946733481123995</v>
      </c>
      <c r="BY151" s="5">
        <f t="shared" si="217"/>
        <v>87.946733481123999</v>
      </c>
      <c r="BZ151">
        <f t="shared" si="218"/>
        <v>41</v>
      </c>
      <c r="CB151" s="582">
        <f t="shared" si="243"/>
        <v>-50</v>
      </c>
      <c r="CC151">
        <f t="shared" si="244"/>
        <v>-50</v>
      </c>
    </row>
    <row r="152" spans="5:81" x14ac:dyDescent="0.25">
      <c r="E152" s="177">
        <v>42</v>
      </c>
      <c r="F152" s="224">
        <f t="shared" si="245"/>
        <v>4.2000000000000003E-2</v>
      </c>
      <c r="G152" s="224">
        <f t="shared" si="226"/>
        <v>4.2000000000000003E-2</v>
      </c>
      <c r="H152" s="224">
        <f t="shared" si="227"/>
        <v>0.2646</v>
      </c>
      <c r="I152" s="224">
        <f t="shared" si="228"/>
        <v>0.63</v>
      </c>
      <c r="J152" s="560">
        <f t="shared" si="163"/>
        <v>10</v>
      </c>
      <c r="K152" s="455">
        <f t="shared" si="164"/>
        <v>13.1</v>
      </c>
      <c r="L152" s="455">
        <f t="shared" si="165"/>
        <v>23.1</v>
      </c>
      <c r="M152" s="455"/>
      <c r="N152" s="224">
        <f t="shared" si="166"/>
        <v>0.5670995670995671</v>
      </c>
      <c r="O152" s="179">
        <f t="shared" si="229"/>
        <v>1.0944622279129324</v>
      </c>
      <c r="P152" s="179">
        <f t="shared" si="230"/>
        <v>2.6058624474117433</v>
      </c>
      <c r="Q152" s="224">
        <f t="shared" si="169"/>
        <v>0.17372416316078293</v>
      </c>
      <c r="R152" s="224">
        <f t="shared" si="231"/>
        <v>7.2964148527528819E-2</v>
      </c>
      <c r="S152" s="224">
        <f t="shared" si="232"/>
        <v>6.3</v>
      </c>
      <c r="T152" s="224">
        <f t="shared" si="233"/>
        <v>0.35055572519083972</v>
      </c>
      <c r="U152" s="224">
        <f t="shared" si="173"/>
        <v>1.9280564885496185</v>
      </c>
      <c r="V152" s="224">
        <f t="shared" si="174"/>
        <v>1.4717988462210829</v>
      </c>
      <c r="W152" s="204">
        <f t="shared" si="175"/>
        <v>350</v>
      </c>
      <c r="X152" s="455">
        <f t="shared" si="176"/>
        <v>294.13016188450371</v>
      </c>
      <c r="Z152" s="224">
        <f t="shared" si="177"/>
        <v>0.29459717771406085</v>
      </c>
      <c r="AA152" s="180">
        <f t="shared" si="178"/>
        <v>1.2368583797155226</v>
      </c>
      <c r="AB152" s="180">
        <f t="shared" si="234"/>
        <v>3.7720509310379111E-2</v>
      </c>
      <c r="AC152" s="180"/>
      <c r="AD152" s="180">
        <f t="shared" si="180"/>
        <v>1.217557251908397</v>
      </c>
      <c r="AE152" s="564">
        <f t="shared" si="235"/>
        <v>402.16192844016854</v>
      </c>
      <c r="AF152" s="547">
        <f t="shared" si="236"/>
        <v>3.6552440597785188E-2</v>
      </c>
      <c r="AH152" s="180">
        <f t="shared" si="237"/>
        <v>0.30486956972688262</v>
      </c>
      <c r="AI152" s="180">
        <f t="shared" si="238"/>
        <v>0.35055572519083972</v>
      </c>
      <c r="AJ152" s="180">
        <f t="shared" si="239"/>
        <v>1.2448560927339554</v>
      </c>
      <c r="AL152" s="564">
        <f t="shared" si="240"/>
        <v>42</v>
      </c>
      <c r="AM152" s="473">
        <f t="shared" si="241"/>
        <v>294.13016188450371</v>
      </c>
      <c r="AO152" s="473">
        <f t="shared" si="188"/>
        <v>42</v>
      </c>
      <c r="AP152" s="473">
        <f t="shared" si="189"/>
        <v>294.13016188450371</v>
      </c>
      <c r="AR152" s="5">
        <f t="shared" si="225"/>
        <v>3.3998553347707015</v>
      </c>
      <c r="AS152" s="5">
        <f t="shared" si="222"/>
        <v>1.9280564885496185</v>
      </c>
      <c r="AT152" s="5">
        <f t="shared" si="223"/>
        <v>1.4717988462210829</v>
      </c>
      <c r="AU152" s="180">
        <f t="shared" si="224"/>
        <v>0.5670995670995671</v>
      </c>
      <c r="AW152" s="5">
        <f t="shared" si="193"/>
        <v>1.2853709923664125</v>
      </c>
      <c r="AX152" s="5">
        <f t="shared" si="194"/>
        <v>0.53985581679389316</v>
      </c>
      <c r="AY152" s="5">
        <f t="shared" si="195"/>
        <v>3.6059071732416528E-2</v>
      </c>
      <c r="AZ152" s="5"/>
      <c r="BA152" s="180">
        <f t="shared" si="196"/>
        <v>0.15241443300853427</v>
      </c>
      <c r="BB152" s="180">
        <f t="shared" si="197"/>
        <v>7.8773726103611719E-2</v>
      </c>
      <c r="BC152" s="180">
        <f t="shared" si="198"/>
        <v>8.0557050113763753E-2</v>
      </c>
      <c r="BD152" s="180"/>
      <c r="BE152" s="547">
        <f t="shared" si="199"/>
        <v>8.130555786259543E-3</v>
      </c>
      <c r="BF152" s="547">
        <f t="shared" si="200"/>
        <v>2.3818181818181822E-2</v>
      </c>
      <c r="BG152" s="547">
        <f t="shared" si="201"/>
        <v>3.6766270235562963E-3</v>
      </c>
      <c r="BH152" s="547">
        <f t="shared" si="202"/>
        <v>9.0246707517834257E-3</v>
      </c>
      <c r="BI152">
        <f t="shared" si="203"/>
        <v>2.8999999999999998E-3</v>
      </c>
      <c r="BJ152" s="473">
        <f t="shared" si="204"/>
        <v>47.550035379781086</v>
      </c>
      <c r="BK152" s="180">
        <f t="shared" si="205"/>
        <v>1.47E-2</v>
      </c>
      <c r="BL152" s="180">
        <f t="shared" si="206"/>
        <v>1.47E-2</v>
      </c>
      <c r="BM152" s="547"/>
      <c r="BO152" s="473">
        <f t="shared" si="207"/>
        <v>29.4</v>
      </c>
      <c r="BP152" s="547">
        <f t="shared" si="208"/>
        <v>2.5553175328244279E-3</v>
      </c>
      <c r="BQ152" s="547">
        <f t="shared" si="209"/>
        <v>2.1718549734863935E-4</v>
      </c>
      <c r="BR152" s="547">
        <f t="shared" si="210"/>
        <v>1.9468314969094334E-4</v>
      </c>
      <c r="BS152" s="547">
        <f t="shared" si="211"/>
        <v>5.397735134334454E-3</v>
      </c>
      <c r="BT152" s="657">
        <f t="shared" si="242"/>
        <v>3.6145454545454543E-2</v>
      </c>
      <c r="BU152" s="473">
        <f t="shared" si="213"/>
        <v>44.51037585965301</v>
      </c>
      <c r="BV152" s="180">
        <f t="shared" si="214"/>
        <v>0.12146041123943407</v>
      </c>
      <c r="BW152" s="5">
        <f t="shared" si="215"/>
        <v>0.89460000000000006</v>
      </c>
      <c r="BX152" s="180">
        <f t="shared" si="216"/>
        <v>0.88045945900867117</v>
      </c>
      <c r="BY152" s="5">
        <f t="shared" si="217"/>
        <v>88.04594590086711</v>
      </c>
      <c r="BZ152">
        <f t="shared" si="218"/>
        <v>42</v>
      </c>
      <c r="CB152" s="582">
        <f t="shared" si="243"/>
        <v>-50</v>
      </c>
      <c r="CC152">
        <f t="shared" si="244"/>
        <v>-50</v>
      </c>
    </row>
    <row r="153" spans="5:81" x14ac:dyDescent="0.25">
      <c r="E153" s="177">
        <v>43</v>
      </c>
      <c r="F153" s="224">
        <f t="shared" si="245"/>
        <v>4.3000000000000003E-2</v>
      </c>
      <c r="G153" s="224">
        <f t="shared" si="226"/>
        <v>4.3000000000000003E-2</v>
      </c>
      <c r="H153" s="224">
        <f t="shared" si="227"/>
        <v>0.27090000000000003</v>
      </c>
      <c r="I153" s="224">
        <f t="shared" si="228"/>
        <v>0.64500000000000002</v>
      </c>
      <c r="J153" s="560">
        <f t="shared" si="163"/>
        <v>10</v>
      </c>
      <c r="K153" s="455">
        <f t="shared" si="164"/>
        <v>13.1</v>
      </c>
      <c r="L153" s="455">
        <f t="shared" si="165"/>
        <v>23.1</v>
      </c>
      <c r="M153" s="455"/>
      <c r="N153" s="224">
        <f t="shared" si="166"/>
        <v>0.5670995670995671</v>
      </c>
      <c r="O153" s="179">
        <f t="shared" si="229"/>
        <v>1.0944622279129324</v>
      </c>
      <c r="P153" s="179">
        <f t="shared" si="230"/>
        <v>2.6058624474117433</v>
      </c>
      <c r="Q153" s="224">
        <f t="shared" si="169"/>
        <v>0.17372416316078293</v>
      </c>
      <c r="R153" s="224">
        <f t="shared" si="231"/>
        <v>7.2964148527528819E-2</v>
      </c>
      <c r="S153" s="224">
        <f t="shared" si="232"/>
        <v>6.3</v>
      </c>
      <c r="T153" s="224">
        <f t="shared" si="233"/>
        <v>0.35890229007633589</v>
      </c>
      <c r="U153" s="224">
        <f t="shared" si="173"/>
        <v>1.9739625954198476</v>
      </c>
      <c r="V153" s="224">
        <f t="shared" si="174"/>
        <v>1.5068416758930134</v>
      </c>
      <c r="W153" s="204">
        <f t="shared" si="175"/>
        <v>350</v>
      </c>
      <c r="X153" s="455">
        <f t="shared" si="176"/>
        <v>287.28992556160824</v>
      </c>
      <c r="Z153" s="224">
        <f t="shared" si="177"/>
        <v>0.29459717771406085</v>
      </c>
      <c r="AA153" s="180">
        <f t="shared" si="178"/>
        <v>1.2368583797155226</v>
      </c>
      <c r="AB153" s="180">
        <f t="shared" si="234"/>
        <v>3.7720509310379111E-2</v>
      </c>
      <c r="AC153" s="180"/>
      <c r="AD153" s="180">
        <f t="shared" si="180"/>
        <v>1.217557251908397</v>
      </c>
      <c r="AE153" s="564">
        <f t="shared" si="235"/>
        <v>411.73721245064877</v>
      </c>
      <c r="AF153" s="547">
        <f t="shared" si="236"/>
        <v>3.6552440597785188E-2</v>
      </c>
      <c r="AH153" s="180">
        <f t="shared" si="237"/>
        <v>0.30847761921805861</v>
      </c>
      <c r="AI153" s="180">
        <f t="shared" si="238"/>
        <v>0.35890229007633589</v>
      </c>
      <c r="AJ153" s="180">
        <f t="shared" si="239"/>
        <v>1.2510387333898785</v>
      </c>
      <c r="AL153" s="564">
        <f t="shared" si="240"/>
        <v>43</v>
      </c>
      <c r="AM153" s="473">
        <f t="shared" si="241"/>
        <v>287.28992556160824</v>
      </c>
      <c r="AO153" s="473">
        <f t="shared" si="188"/>
        <v>43</v>
      </c>
      <c r="AP153" s="473">
        <f t="shared" si="189"/>
        <v>287.28992556160824</v>
      </c>
      <c r="AR153" s="5">
        <f t="shared" si="225"/>
        <v>3.4808042713128615</v>
      </c>
      <c r="AS153" s="5">
        <f t="shared" si="222"/>
        <v>1.9739625954198476</v>
      </c>
      <c r="AT153" s="5">
        <f t="shared" si="223"/>
        <v>1.5068416758930139</v>
      </c>
      <c r="AU153" s="180">
        <f t="shared" si="224"/>
        <v>0.56709956709956699</v>
      </c>
      <c r="AW153" s="5">
        <f t="shared" si="193"/>
        <v>1.3473078032230708</v>
      </c>
      <c r="AX153" s="5">
        <f t="shared" si="194"/>
        <v>0.56586927735368975</v>
      </c>
      <c r="AY153" s="5">
        <f t="shared" si="195"/>
        <v>3.7796612036983104E-2</v>
      </c>
      <c r="AZ153" s="5"/>
      <c r="BA153" s="180">
        <f t="shared" si="196"/>
        <v>0.15604334808016601</v>
      </c>
      <c r="BB153" s="180">
        <f t="shared" si="197"/>
        <v>8.0649291010840576E-2</v>
      </c>
      <c r="BC153" s="180">
        <f t="shared" si="198"/>
        <v>8.2475075116472424E-2</v>
      </c>
      <c r="BD153" s="180"/>
      <c r="BE153" s="547">
        <f t="shared" si="199"/>
        <v>8.5223342680237468E-3</v>
      </c>
      <c r="BF153" s="547">
        <f t="shared" si="200"/>
        <v>2.3818181818181811E-2</v>
      </c>
      <c r="BG153" s="547">
        <f t="shared" si="201"/>
        <v>3.591124069520103E-3</v>
      </c>
      <c r="BH153" s="547">
        <f t="shared" si="202"/>
        <v>8.8147946877884624E-3</v>
      </c>
      <c r="BI153">
        <f t="shared" si="203"/>
        <v>2.8999999999999998E-3</v>
      </c>
      <c r="BJ153" s="473">
        <f t="shared" si="204"/>
        <v>47.646434843514122</v>
      </c>
      <c r="BK153" s="180">
        <f t="shared" si="205"/>
        <v>1.5050000000000001E-2</v>
      </c>
      <c r="BL153" s="180">
        <f t="shared" si="206"/>
        <v>1.5050000000000001E-2</v>
      </c>
      <c r="BM153" s="547"/>
      <c r="BO153" s="473">
        <f t="shared" si="207"/>
        <v>30.1</v>
      </c>
      <c r="BP153" s="547">
        <f t="shared" si="208"/>
        <v>2.6784479128074633E-3</v>
      </c>
      <c r="BQ153" s="547">
        <f t="shared" si="209"/>
        <v>2.2765078491929379E-4</v>
      </c>
      <c r="BR153" s="547">
        <f t="shared" si="210"/>
        <v>2.0406414046403304E-4</v>
      </c>
      <c r="BS153" s="547">
        <f t="shared" si="211"/>
        <v>5.3977351343344514E-3</v>
      </c>
      <c r="BT153" s="657">
        <f t="shared" si="242"/>
        <v>3.7006060606060605E-2</v>
      </c>
      <c r="BU153" s="473">
        <f t="shared" si="213"/>
        <v>45.513958578585843</v>
      </c>
      <c r="BV153" s="180">
        <f t="shared" si="214"/>
        <v>0.12326039342209996</v>
      </c>
      <c r="BW153" s="5">
        <f t="shared" si="215"/>
        <v>0.91590000000000005</v>
      </c>
      <c r="BX153" s="180">
        <f t="shared" si="216"/>
        <v>0.88138463109031095</v>
      </c>
      <c r="BY153" s="5">
        <f t="shared" si="217"/>
        <v>88.138463109031093</v>
      </c>
      <c r="BZ153">
        <f t="shared" si="218"/>
        <v>43</v>
      </c>
      <c r="CB153" s="582">
        <f t="shared" si="243"/>
        <v>-50</v>
      </c>
      <c r="CC153">
        <f t="shared" si="244"/>
        <v>-50</v>
      </c>
    </row>
    <row r="154" spans="5:81" x14ac:dyDescent="0.25">
      <c r="E154" s="177">
        <v>44</v>
      </c>
      <c r="F154" s="224">
        <f t="shared" si="245"/>
        <v>4.4000000000000004E-2</v>
      </c>
      <c r="G154" s="224">
        <f t="shared" si="226"/>
        <v>4.4000000000000004E-2</v>
      </c>
      <c r="H154" s="224">
        <f t="shared" si="227"/>
        <v>0.2772</v>
      </c>
      <c r="I154" s="224">
        <f t="shared" si="228"/>
        <v>0.66</v>
      </c>
      <c r="J154" s="560">
        <f t="shared" si="163"/>
        <v>10</v>
      </c>
      <c r="K154" s="455">
        <f t="shared" si="164"/>
        <v>13.1</v>
      </c>
      <c r="L154" s="455">
        <f t="shared" si="165"/>
        <v>23.1</v>
      </c>
      <c r="M154" s="455"/>
      <c r="N154" s="224">
        <f t="shared" si="166"/>
        <v>0.5670995670995671</v>
      </c>
      <c r="O154" s="179">
        <f t="shared" si="229"/>
        <v>1.0944622279129324</v>
      </c>
      <c r="P154" s="179">
        <f t="shared" si="230"/>
        <v>2.6058624474117433</v>
      </c>
      <c r="Q154" s="224">
        <f t="shared" si="169"/>
        <v>0.17372416316078293</v>
      </c>
      <c r="R154" s="224">
        <f t="shared" si="231"/>
        <v>7.2964148527528819E-2</v>
      </c>
      <c r="S154" s="224">
        <f t="shared" si="232"/>
        <v>6.3</v>
      </c>
      <c r="T154" s="224">
        <f t="shared" si="233"/>
        <v>0.36724885496183207</v>
      </c>
      <c r="U154" s="224">
        <f t="shared" si="173"/>
        <v>2.0198687022900761</v>
      </c>
      <c r="V154" s="224">
        <f t="shared" si="174"/>
        <v>1.5418845055649439</v>
      </c>
      <c r="W154" s="204">
        <f t="shared" si="175"/>
        <v>350</v>
      </c>
      <c r="X154" s="455">
        <f t="shared" si="176"/>
        <v>280.76060907157182</v>
      </c>
      <c r="Z154" s="224">
        <f t="shared" si="177"/>
        <v>0.29459717771406085</v>
      </c>
      <c r="AA154" s="180">
        <f t="shared" si="178"/>
        <v>1.2368583797155226</v>
      </c>
      <c r="AB154" s="180">
        <f t="shared" si="234"/>
        <v>3.7720509310379111E-2</v>
      </c>
      <c r="AC154" s="180"/>
      <c r="AD154" s="180">
        <f t="shared" si="180"/>
        <v>1.217557251908397</v>
      </c>
      <c r="AE154" s="564">
        <f t="shared" si="235"/>
        <v>421.31249646112894</v>
      </c>
      <c r="AF154" s="547">
        <f t="shared" si="236"/>
        <v>3.6552440597785188E-2</v>
      </c>
      <c r="AH154" s="180">
        <f t="shared" si="237"/>
        <v>0.31204395294802395</v>
      </c>
      <c r="AI154" s="180">
        <f t="shared" si="238"/>
        <v>0.36724885496183207</v>
      </c>
      <c r="AJ154" s="180">
        <f t="shared" si="239"/>
        <v>1.2572213740458016</v>
      </c>
      <c r="AL154" s="564">
        <f t="shared" si="240"/>
        <v>44.000000000000007</v>
      </c>
      <c r="AM154" s="473">
        <f t="shared" si="241"/>
        <v>280.76060907157182</v>
      </c>
      <c r="AO154" s="473">
        <f t="shared" si="188"/>
        <v>44.000000000000007</v>
      </c>
      <c r="AP154" s="473">
        <f t="shared" si="189"/>
        <v>280.76060907157182</v>
      </c>
      <c r="AR154" s="5">
        <f t="shared" si="225"/>
        <v>3.5617532078550198</v>
      </c>
      <c r="AS154" s="5">
        <f t="shared" si="222"/>
        <v>2.0198687022900761</v>
      </c>
      <c r="AT154" s="5">
        <f t="shared" si="223"/>
        <v>1.5418845055649437</v>
      </c>
      <c r="AU154" s="180">
        <f t="shared" si="224"/>
        <v>0.5670995670995671</v>
      </c>
      <c r="AW154" s="5">
        <f t="shared" si="193"/>
        <v>1.4107019508057677</v>
      </c>
      <c r="AX154" s="5">
        <f t="shared" si="194"/>
        <v>0.59249481933842241</v>
      </c>
      <c r="AY154" s="5">
        <f t="shared" si="195"/>
        <v>3.9575035642833552E-2</v>
      </c>
      <c r="AZ154" s="5"/>
      <c r="BA154" s="180">
        <f t="shared" si="196"/>
        <v>0.15967226315179781</v>
      </c>
      <c r="BB154" s="180">
        <f t="shared" si="197"/>
        <v>8.252485591806942E-2</v>
      </c>
      <c r="BC154" s="180">
        <f t="shared" si="198"/>
        <v>8.4393100119181066E-2</v>
      </c>
      <c r="BD154" s="180"/>
      <c r="BE154" s="547">
        <f t="shared" si="199"/>
        <v>8.9233310670059386E-3</v>
      </c>
      <c r="BF154" s="547">
        <f t="shared" si="200"/>
        <v>2.3818181818181825E-2</v>
      </c>
      <c r="BG154" s="547">
        <f t="shared" si="201"/>
        <v>3.5095076133946474E-3</v>
      </c>
      <c r="BH154" s="547">
        <f t="shared" si="202"/>
        <v>8.6144584448841835E-3</v>
      </c>
      <c r="BI154">
        <f t="shared" si="203"/>
        <v>2.8999999999999998E-3</v>
      </c>
      <c r="BJ154" s="473">
        <f t="shared" si="204"/>
        <v>47.765478943466597</v>
      </c>
      <c r="BK154" s="180">
        <f t="shared" si="205"/>
        <v>1.54E-2</v>
      </c>
      <c r="BL154" s="180">
        <f t="shared" si="206"/>
        <v>1.54E-2</v>
      </c>
      <c r="BM154" s="547"/>
      <c r="BO154" s="473">
        <f t="shared" si="207"/>
        <v>30.8</v>
      </c>
      <c r="BP154" s="547">
        <f t="shared" si="208"/>
        <v>2.8044754782018664E-3</v>
      </c>
      <c r="BQ154" s="547">
        <f t="shared" si="209"/>
        <v>2.3836231455043414E-4</v>
      </c>
      <c r="BR154" s="547">
        <f t="shared" si="210"/>
        <v>2.1366586043178356E-4</v>
      </c>
      <c r="BS154" s="547">
        <f t="shared" si="211"/>
        <v>5.3977351343344627E-3</v>
      </c>
      <c r="BT154" s="657">
        <f t="shared" si="242"/>
        <v>3.786666666666668E-2</v>
      </c>
      <c r="BU154" s="473">
        <f t="shared" si="213"/>
        <v>46.520905454185225</v>
      </c>
      <c r="BV154" s="180">
        <f t="shared" si="214"/>
        <v>0.12508638439765182</v>
      </c>
      <c r="BW154" s="5">
        <f t="shared" si="215"/>
        <v>0.93720000000000003</v>
      </c>
      <c r="BX154" s="180">
        <f t="shared" si="216"/>
        <v>0.88224796416968154</v>
      </c>
      <c r="BY154" s="5">
        <f t="shared" si="217"/>
        <v>88.224796416968161</v>
      </c>
      <c r="BZ154">
        <f t="shared" si="218"/>
        <v>44</v>
      </c>
      <c r="CB154" s="582">
        <f t="shared" si="243"/>
        <v>-50</v>
      </c>
      <c r="CC154">
        <f t="shared" si="244"/>
        <v>-50</v>
      </c>
    </row>
    <row r="155" spans="5:81" x14ac:dyDescent="0.25">
      <c r="E155" s="177">
        <v>45</v>
      </c>
      <c r="F155" s="224">
        <f t="shared" si="245"/>
        <v>4.5000000000000005E-2</v>
      </c>
      <c r="G155" s="224">
        <f t="shared" si="226"/>
        <v>4.5000000000000005E-2</v>
      </c>
      <c r="H155" s="224">
        <f t="shared" si="227"/>
        <v>0.28350000000000003</v>
      </c>
      <c r="I155" s="224">
        <f t="shared" si="228"/>
        <v>0.67500000000000004</v>
      </c>
      <c r="J155" s="560">
        <f t="shared" si="163"/>
        <v>10</v>
      </c>
      <c r="K155" s="455">
        <f t="shared" si="164"/>
        <v>13.1</v>
      </c>
      <c r="L155" s="455">
        <f t="shared" si="165"/>
        <v>23.1</v>
      </c>
      <c r="M155" s="455"/>
      <c r="N155" s="224">
        <f t="shared" si="166"/>
        <v>0.5670995670995671</v>
      </c>
      <c r="O155" s="179">
        <f t="shared" si="229"/>
        <v>1.0944622279129324</v>
      </c>
      <c r="P155" s="179">
        <f t="shared" si="230"/>
        <v>2.6058624474117433</v>
      </c>
      <c r="Q155" s="224">
        <f t="shared" si="169"/>
        <v>0.17372416316078293</v>
      </c>
      <c r="R155" s="224">
        <f t="shared" si="231"/>
        <v>7.2964148527528819E-2</v>
      </c>
      <c r="S155" s="224">
        <f t="shared" si="232"/>
        <v>6.3</v>
      </c>
      <c r="T155" s="224">
        <f t="shared" si="233"/>
        <v>0.3755954198473283</v>
      </c>
      <c r="U155" s="224">
        <f t="shared" si="173"/>
        <v>2.0657748091603056</v>
      </c>
      <c r="V155" s="224">
        <f t="shared" si="174"/>
        <v>1.5769273352368747</v>
      </c>
      <c r="W155" s="204">
        <f t="shared" si="175"/>
        <v>350</v>
      </c>
      <c r="X155" s="455">
        <f t="shared" si="176"/>
        <v>274.52148442553681</v>
      </c>
      <c r="Z155" s="224">
        <f t="shared" si="177"/>
        <v>0.29459717771406085</v>
      </c>
      <c r="AA155" s="180">
        <f t="shared" si="178"/>
        <v>1.2368583797155226</v>
      </c>
      <c r="AB155" s="180">
        <f t="shared" si="234"/>
        <v>3.7720509310379111E-2</v>
      </c>
      <c r="AC155" s="180"/>
      <c r="AD155" s="180">
        <f t="shared" si="180"/>
        <v>1.217557251908397</v>
      </c>
      <c r="AE155" s="564">
        <f t="shared" si="235"/>
        <v>430.88778047160923</v>
      </c>
      <c r="AF155" s="547">
        <f t="shared" si="236"/>
        <v>3.6552440597785188E-2</v>
      </c>
      <c r="AH155" s="180">
        <f t="shared" si="237"/>
        <v>0.31556998524006619</v>
      </c>
      <c r="AI155" s="180">
        <f t="shared" si="238"/>
        <v>0.3755954198473283</v>
      </c>
      <c r="AJ155" s="180">
        <f t="shared" si="239"/>
        <v>1.2634040147017247</v>
      </c>
      <c r="AL155" s="564">
        <f t="shared" si="240"/>
        <v>45.000000000000007</v>
      </c>
      <c r="AM155" s="473">
        <f t="shared" si="241"/>
        <v>274.52148442553681</v>
      </c>
      <c r="AO155" s="473">
        <f t="shared" si="188"/>
        <v>45.000000000000007</v>
      </c>
      <c r="AP155" s="473">
        <f t="shared" si="189"/>
        <v>274.52148442553681</v>
      </c>
      <c r="AR155" s="5">
        <f t="shared" si="225"/>
        <v>3.6427021443971799</v>
      </c>
      <c r="AS155" s="5">
        <f t="shared" si="222"/>
        <v>2.0657748091603056</v>
      </c>
      <c r="AT155" s="5">
        <f t="shared" si="223"/>
        <v>1.5769273352368742</v>
      </c>
      <c r="AU155" s="180">
        <f t="shared" si="224"/>
        <v>0.5670995670995671</v>
      </c>
      <c r="AW155" s="5">
        <f t="shared" si="193"/>
        <v>1.4755534351145043</v>
      </c>
      <c r="AX155" s="5">
        <f t="shared" si="194"/>
        <v>0.61973244274809181</v>
      </c>
      <c r="AY155" s="5">
        <f t="shared" si="195"/>
        <v>4.139434254996794E-2</v>
      </c>
      <c r="AZ155" s="5"/>
      <c r="BA155" s="180">
        <f t="shared" si="196"/>
        <v>0.16330117822342957</v>
      </c>
      <c r="BB155" s="180">
        <f t="shared" si="197"/>
        <v>8.4400420825298292E-2</v>
      </c>
      <c r="BC155" s="180">
        <f t="shared" si="198"/>
        <v>8.6311125121889737E-2</v>
      </c>
      <c r="BD155" s="180"/>
      <c r="BE155" s="547">
        <f t="shared" si="199"/>
        <v>9.3335461832061081E-3</v>
      </c>
      <c r="BF155" s="547">
        <f t="shared" si="200"/>
        <v>2.3818181818181822E-2</v>
      </c>
      <c r="BG155" s="547">
        <f t="shared" si="201"/>
        <v>3.43151855531921E-3</v>
      </c>
      <c r="BH155" s="547">
        <f t="shared" si="202"/>
        <v>8.4230260349978641E-3</v>
      </c>
      <c r="BI155">
        <f t="shared" si="203"/>
        <v>2.8999999999999998E-3</v>
      </c>
      <c r="BJ155" s="473">
        <f t="shared" si="204"/>
        <v>47.906272591705005</v>
      </c>
      <c r="BK155" s="180">
        <f t="shared" si="205"/>
        <v>1.575E-2</v>
      </c>
      <c r="BL155" s="180">
        <f t="shared" si="206"/>
        <v>1.575E-2</v>
      </c>
      <c r="BM155" s="547"/>
      <c r="BO155" s="473">
        <f t="shared" si="207"/>
        <v>31.5</v>
      </c>
      <c r="BP155" s="547">
        <f t="shared" si="208"/>
        <v>2.9334002290076341E-3</v>
      </c>
      <c r="BQ155" s="547">
        <f t="shared" si="209"/>
        <v>2.4932008624206062E-4</v>
      </c>
      <c r="BR155" s="547">
        <f t="shared" si="210"/>
        <v>2.2348830959419515E-4</v>
      </c>
      <c r="BS155" s="547">
        <f t="shared" si="211"/>
        <v>5.3977351343344523E-3</v>
      </c>
      <c r="BT155" s="657">
        <f t="shared" si="242"/>
        <v>3.8727272727272742E-2</v>
      </c>
      <c r="BU155" s="473">
        <f t="shared" si="213"/>
        <v>47.531216486451086</v>
      </c>
      <c r="BV155" s="180">
        <f t="shared" si="214"/>
        <v>0.12693748907815608</v>
      </c>
      <c r="BW155" s="5">
        <f t="shared" si="215"/>
        <v>0.95850000000000013</v>
      </c>
      <c r="BX155" s="180">
        <f t="shared" si="216"/>
        <v>0.88305407694554394</v>
      </c>
      <c r="BY155" s="5">
        <f t="shared" si="217"/>
        <v>88.30540769455439</v>
      </c>
      <c r="BZ155">
        <f t="shared" si="218"/>
        <v>45</v>
      </c>
      <c r="CB155" s="582">
        <f t="shared" si="243"/>
        <v>-50</v>
      </c>
      <c r="CC155">
        <f t="shared" si="244"/>
        <v>-50</v>
      </c>
    </row>
    <row r="156" spans="5:81" s="77" customFormat="1" x14ac:dyDescent="0.25">
      <c r="E156" s="196">
        <v>46</v>
      </c>
      <c r="F156" s="336">
        <f t="shared" si="245"/>
        <v>4.6000000000000006E-2</v>
      </c>
      <c r="G156" s="224">
        <f t="shared" si="226"/>
        <v>4.6000000000000006E-2</v>
      </c>
      <c r="H156" s="336">
        <f t="shared" si="227"/>
        <v>0.28980000000000006</v>
      </c>
      <c r="I156" s="224">
        <f t="shared" si="228"/>
        <v>0.69000000000000006</v>
      </c>
      <c r="J156" s="560">
        <f t="shared" si="163"/>
        <v>10</v>
      </c>
      <c r="K156" s="554">
        <f t="shared" si="164"/>
        <v>13.1</v>
      </c>
      <c r="L156" s="554">
        <f t="shared" si="165"/>
        <v>23.1</v>
      </c>
      <c r="M156" s="554"/>
      <c r="N156" s="336">
        <f t="shared" si="166"/>
        <v>0.5670995670995671</v>
      </c>
      <c r="O156" s="179">
        <f t="shared" si="229"/>
        <v>1.0944622279129324</v>
      </c>
      <c r="P156" s="179">
        <f t="shared" si="230"/>
        <v>2.6058624474117433</v>
      </c>
      <c r="Q156" s="336">
        <f t="shared" si="169"/>
        <v>0.17372416316078293</v>
      </c>
      <c r="R156" s="224">
        <f t="shared" si="231"/>
        <v>7.2964148527528819E-2</v>
      </c>
      <c r="S156" s="336">
        <f t="shared" si="232"/>
        <v>6.3</v>
      </c>
      <c r="T156" s="224">
        <f t="shared" si="233"/>
        <v>0.38394198473282448</v>
      </c>
      <c r="U156" s="336">
        <f t="shared" si="173"/>
        <v>2.1116809160305348</v>
      </c>
      <c r="V156" s="336">
        <f t="shared" si="174"/>
        <v>1.6119701649088054</v>
      </c>
      <c r="W156" s="556">
        <f t="shared" si="175"/>
        <v>350</v>
      </c>
      <c r="X156" s="554">
        <f t="shared" si="176"/>
        <v>268.55362606845989</v>
      </c>
      <c r="Z156" s="336">
        <f t="shared" si="177"/>
        <v>0.29459717771406085</v>
      </c>
      <c r="AA156" s="557">
        <f t="shared" si="178"/>
        <v>1.2368583797155226</v>
      </c>
      <c r="AB156" s="180">
        <f t="shared" si="234"/>
        <v>3.7720509310379111E-2</v>
      </c>
      <c r="AC156" s="557"/>
      <c r="AD156" s="557">
        <f t="shared" si="180"/>
        <v>1.217557251908397</v>
      </c>
      <c r="AE156" s="564">
        <f t="shared" si="235"/>
        <v>440.46306448208935</v>
      </c>
      <c r="AF156" s="547">
        <f t="shared" si="236"/>
        <v>3.6552440597785188E-2</v>
      </c>
      <c r="AH156" s="180">
        <f t="shared" si="237"/>
        <v>0.3190570522608811</v>
      </c>
      <c r="AI156" s="557">
        <f t="shared" si="238"/>
        <v>0.38394198473282448</v>
      </c>
      <c r="AJ156" s="557">
        <f t="shared" si="239"/>
        <v>1.2695866553576478</v>
      </c>
      <c r="AL156" s="584">
        <f t="shared" si="240"/>
        <v>46.000000000000007</v>
      </c>
      <c r="AM156" s="585">
        <f t="shared" si="241"/>
        <v>268.55362606845989</v>
      </c>
      <c r="AO156" s="77">
        <f t="shared" si="188"/>
        <v>46.000000000000007</v>
      </c>
      <c r="AP156" s="77">
        <f t="shared" si="189"/>
        <v>268.55362606845989</v>
      </c>
      <c r="AR156" s="553">
        <f t="shared" si="225"/>
        <v>3.7236510809393399</v>
      </c>
      <c r="AS156" s="5">
        <f t="shared" si="222"/>
        <v>2.1116809160305348</v>
      </c>
      <c r="AT156" s="5">
        <f t="shared" si="223"/>
        <v>1.6119701649088052</v>
      </c>
      <c r="AU156" s="180">
        <f t="shared" si="224"/>
        <v>0.5670995670995671</v>
      </c>
      <c r="AW156" s="5">
        <f t="shared" si="193"/>
        <v>1.5418622561492794</v>
      </c>
      <c r="AX156" s="5">
        <f t="shared" si="194"/>
        <v>0.64758214758269739</v>
      </c>
      <c r="AY156" s="5">
        <f t="shared" si="195"/>
        <v>4.3254532758386276E-2</v>
      </c>
      <c r="AZ156" s="5"/>
      <c r="BA156" s="180">
        <f t="shared" si="196"/>
        <v>0.16693009329506134</v>
      </c>
      <c r="BB156" s="180">
        <f t="shared" si="197"/>
        <v>8.6275985732527136E-2</v>
      </c>
      <c r="BC156" s="180">
        <f t="shared" si="198"/>
        <v>8.8229150124598393E-2</v>
      </c>
      <c r="BD156" s="180"/>
      <c r="BE156" s="547">
        <f t="shared" si="199"/>
        <v>9.7529796166242588E-3</v>
      </c>
      <c r="BF156" s="547">
        <f t="shared" si="200"/>
        <v>2.3818181818181822E-2</v>
      </c>
      <c r="BG156" s="547">
        <f t="shared" si="201"/>
        <v>3.3569203258557484E-3</v>
      </c>
      <c r="BH156" s="547">
        <f t="shared" si="202"/>
        <v>8.2399167733674759E-3</v>
      </c>
      <c r="BI156">
        <f t="shared" si="203"/>
        <v>2.8999999999999998E-3</v>
      </c>
      <c r="BJ156" s="473">
        <f t="shared" si="204"/>
        <v>48.067998534029307</v>
      </c>
      <c r="BK156" s="180">
        <f t="shared" si="205"/>
        <v>1.61E-2</v>
      </c>
      <c r="BL156" s="180">
        <f t="shared" si="206"/>
        <v>1.61E-2</v>
      </c>
      <c r="BM156" s="547"/>
      <c r="BN156"/>
      <c r="BO156" s="473">
        <f t="shared" si="207"/>
        <v>32.200000000000003</v>
      </c>
      <c r="BP156" s="547">
        <f t="shared" si="208"/>
        <v>3.0652221652247673E-3</v>
      </c>
      <c r="BQ156" s="547">
        <f t="shared" si="209"/>
        <v>2.6052409999417292E-4</v>
      </c>
      <c r="BR156" s="547">
        <f t="shared" si="210"/>
        <v>2.3353148795126759E-4</v>
      </c>
      <c r="BS156" s="547">
        <f t="shared" si="211"/>
        <v>5.3977351343344479E-3</v>
      </c>
      <c r="BT156" s="657">
        <f t="shared" si="242"/>
        <v>3.9587878787878797E-2</v>
      </c>
      <c r="BU156" s="473">
        <f t="shared" si="213"/>
        <v>48.544891675383454</v>
      </c>
      <c r="BV156" s="180">
        <f t="shared" si="214"/>
        <v>0.12881289020941278</v>
      </c>
      <c r="BW156" s="5">
        <f t="shared" si="215"/>
        <v>0.97980000000000012</v>
      </c>
      <c r="BX156" s="180">
        <f t="shared" si="216"/>
        <v>0.88380715094781159</v>
      </c>
      <c r="BY156" s="5">
        <f t="shared" si="217"/>
        <v>88.380715094781152</v>
      </c>
      <c r="BZ156">
        <f t="shared" si="218"/>
        <v>46</v>
      </c>
      <c r="CB156" s="582">
        <f t="shared" si="243"/>
        <v>-50</v>
      </c>
      <c r="CC156">
        <f t="shared" si="244"/>
        <v>-50</v>
      </c>
    </row>
    <row r="157" spans="5:81" x14ac:dyDescent="0.25">
      <c r="E157" s="177">
        <v>47</v>
      </c>
      <c r="F157" s="224">
        <f t="shared" si="245"/>
        <v>4.7E-2</v>
      </c>
      <c r="G157" s="224">
        <f t="shared" si="226"/>
        <v>4.7E-2</v>
      </c>
      <c r="H157" s="224">
        <f t="shared" si="227"/>
        <v>0.29609999999999997</v>
      </c>
      <c r="I157" s="224">
        <f t="shared" si="228"/>
        <v>0.70499999999999996</v>
      </c>
      <c r="J157" s="560">
        <f t="shared" si="163"/>
        <v>10</v>
      </c>
      <c r="K157" s="455">
        <f t="shared" si="164"/>
        <v>13.1</v>
      </c>
      <c r="L157" s="455">
        <f t="shared" si="165"/>
        <v>23.1</v>
      </c>
      <c r="M157" s="455"/>
      <c r="N157" s="224">
        <f t="shared" si="166"/>
        <v>0.5670995670995671</v>
      </c>
      <c r="O157" s="179">
        <f t="shared" si="229"/>
        <v>1.0944622279129324</v>
      </c>
      <c r="P157" s="179">
        <f t="shared" si="230"/>
        <v>2.6058624474117433</v>
      </c>
      <c r="Q157" s="224">
        <f t="shared" si="169"/>
        <v>0.17372416316078293</v>
      </c>
      <c r="R157" s="224">
        <f t="shared" si="231"/>
        <v>7.2964148527528819E-2</v>
      </c>
      <c r="S157" s="224">
        <f t="shared" si="232"/>
        <v>6.3</v>
      </c>
      <c r="T157" s="224">
        <f t="shared" si="233"/>
        <v>0.39228854961832055</v>
      </c>
      <c r="U157" s="224">
        <f t="shared" si="173"/>
        <v>2.1575870229007634</v>
      </c>
      <c r="V157" s="224">
        <f t="shared" si="174"/>
        <v>1.6470129945807352</v>
      </c>
      <c r="W157" s="204">
        <f t="shared" si="175"/>
        <v>350</v>
      </c>
      <c r="X157" s="455">
        <f t="shared" si="176"/>
        <v>262.83971913083315</v>
      </c>
      <c r="Z157" s="224">
        <f t="shared" si="177"/>
        <v>0.29459717771406085</v>
      </c>
      <c r="AA157" s="180">
        <f t="shared" si="178"/>
        <v>1.2368583797155226</v>
      </c>
      <c r="AB157" s="180">
        <f t="shared" si="234"/>
        <v>3.7720509310379111E-2</v>
      </c>
      <c r="AC157" s="180"/>
      <c r="AD157" s="180">
        <f t="shared" si="180"/>
        <v>1.217557251908397</v>
      </c>
      <c r="AE157" s="564">
        <f t="shared" si="235"/>
        <v>450.03834849256953</v>
      </c>
      <c r="AF157" s="547">
        <f t="shared" si="236"/>
        <v>3.6552440597785188E-2</v>
      </c>
      <c r="AH157" s="180">
        <f t="shared" si="237"/>
        <v>0.32250641793674367</v>
      </c>
      <c r="AI157" s="180">
        <f t="shared" si="238"/>
        <v>0.39228854961832055</v>
      </c>
      <c r="AJ157" s="180">
        <f t="shared" si="239"/>
        <v>1.2757692960135707</v>
      </c>
      <c r="AL157" s="564">
        <f t="shared" si="240"/>
        <v>47</v>
      </c>
      <c r="AM157" s="473">
        <f t="shared" si="241"/>
        <v>262.83971913083315</v>
      </c>
      <c r="AO157">
        <f t="shared" si="188"/>
        <v>47</v>
      </c>
      <c r="AP157">
        <f t="shared" si="189"/>
        <v>262.83971913083315</v>
      </c>
      <c r="AR157" s="5">
        <f t="shared" si="225"/>
        <v>3.8046000174814987</v>
      </c>
      <c r="AS157" s="5">
        <f t="shared" si="222"/>
        <v>2.1575870229007634</v>
      </c>
      <c r="AT157" s="5">
        <f t="shared" si="223"/>
        <v>1.6470129945807352</v>
      </c>
      <c r="AU157" s="180">
        <f t="shared" si="224"/>
        <v>0.5670995670995671</v>
      </c>
      <c r="AW157" s="5">
        <f t="shared" si="193"/>
        <v>1.6096284139100934</v>
      </c>
      <c r="AX157" s="5">
        <f t="shared" si="194"/>
        <v>0.67604393384223915</v>
      </c>
      <c r="AY157" s="5">
        <f t="shared" si="195"/>
        <v>4.5155606268088483E-2</v>
      </c>
      <c r="AZ157" s="5"/>
      <c r="BA157" s="180">
        <f t="shared" si="196"/>
        <v>0.17055900836669308</v>
      </c>
      <c r="BB157" s="180">
        <f t="shared" si="197"/>
        <v>8.8151550639755952E-2</v>
      </c>
      <c r="BC157" s="180">
        <f t="shared" si="198"/>
        <v>9.0147175127307036E-2</v>
      </c>
      <c r="BD157" s="180"/>
      <c r="BE157" s="547">
        <f t="shared" si="199"/>
        <v>1.0181631367260387E-2</v>
      </c>
      <c r="BF157" s="547">
        <f t="shared" si="200"/>
        <v>2.3818181818181818E-2</v>
      </c>
      <c r="BG157" s="547">
        <f t="shared" si="201"/>
        <v>3.2854964891354142E-3</v>
      </c>
      <c r="BH157" s="547">
        <f t="shared" si="202"/>
        <v>8.0645993952107222E-3</v>
      </c>
      <c r="BI157">
        <f t="shared" si="203"/>
        <v>2.8999999999999998E-3</v>
      </c>
      <c r="BJ157" s="473">
        <f t="shared" si="204"/>
        <v>48.249909069788345</v>
      </c>
      <c r="BK157" s="180">
        <f t="shared" si="205"/>
        <v>1.6449999999999999E-2</v>
      </c>
      <c r="BL157" s="180">
        <f t="shared" si="206"/>
        <v>1.6449999999999999E-2</v>
      </c>
      <c r="BM157" s="547"/>
      <c r="BO157" s="473">
        <f t="shared" si="207"/>
        <v>32.9</v>
      </c>
      <c r="BP157" s="547">
        <f t="shared" si="208"/>
        <v>3.1999412868532646E-3</v>
      </c>
      <c r="BQ157" s="547">
        <f t="shared" si="209"/>
        <v>2.7197435580677106E-4</v>
      </c>
      <c r="BR157" s="547">
        <f t="shared" si="210"/>
        <v>2.4379539550300092E-4</v>
      </c>
      <c r="BS157" s="547">
        <f t="shared" si="211"/>
        <v>5.3977351343344505E-3</v>
      </c>
      <c r="BT157" s="657">
        <f t="shared" si="242"/>
        <v>4.0448484848484838E-2</v>
      </c>
      <c r="BU157" s="473">
        <f t="shared" si="213"/>
        <v>49.561931020982321</v>
      </c>
      <c r="BV157" s="180">
        <f t="shared" si="214"/>
        <v>0.13071184009077064</v>
      </c>
      <c r="BW157" s="5">
        <f t="shared" si="215"/>
        <v>1.0010999999999999</v>
      </c>
      <c r="BX157" s="180">
        <f t="shared" si="216"/>
        <v>0.88451098012873963</v>
      </c>
      <c r="BY157" s="5">
        <f t="shared" si="217"/>
        <v>88.451098012873956</v>
      </c>
      <c r="BZ157">
        <f t="shared" si="218"/>
        <v>47</v>
      </c>
      <c r="CB157" s="582">
        <f t="shared" si="243"/>
        <v>-50</v>
      </c>
      <c r="CC157">
        <f t="shared" si="244"/>
        <v>-50</v>
      </c>
    </row>
    <row r="158" spans="5:81" x14ac:dyDescent="0.25">
      <c r="E158" s="177">
        <v>48</v>
      </c>
      <c r="F158" s="224">
        <f t="shared" si="245"/>
        <v>4.8000000000000001E-2</v>
      </c>
      <c r="G158" s="224">
        <f t="shared" si="226"/>
        <v>4.8000000000000001E-2</v>
      </c>
      <c r="H158" s="224">
        <f t="shared" si="227"/>
        <v>0.3024</v>
      </c>
      <c r="I158" s="224">
        <f t="shared" si="228"/>
        <v>0.72</v>
      </c>
      <c r="J158" s="560">
        <f t="shared" si="163"/>
        <v>10</v>
      </c>
      <c r="K158" s="455">
        <f t="shared" si="164"/>
        <v>13.1</v>
      </c>
      <c r="L158" s="455">
        <f t="shared" si="165"/>
        <v>23.1</v>
      </c>
      <c r="M158" s="455"/>
      <c r="N158" s="224">
        <f t="shared" si="166"/>
        <v>0.5670995670995671</v>
      </c>
      <c r="O158" s="179">
        <f t="shared" si="229"/>
        <v>1.0944622279129324</v>
      </c>
      <c r="P158" s="179">
        <f t="shared" si="230"/>
        <v>2.6058624474117433</v>
      </c>
      <c r="Q158" s="224">
        <f t="shared" si="169"/>
        <v>0.17372416316078293</v>
      </c>
      <c r="R158" s="224">
        <f t="shared" si="231"/>
        <v>7.2964148527528819E-2</v>
      </c>
      <c r="S158" s="224">
        <f t="shared" si="232"/>
        <v>6.3</v>
      </c>
      <c r="T158" s="224">
        <f t="shared" si="233"/>
        <v>0.40063511450381678</v>
      </c>
      <c r="U158" s="224">
        <f t="shared" si="173"/>
        <v>2.2034931297709925</v>
      </c>
      <c r="V158" s="224">
        <f t="shared" si="174"/>
        <v>1.682055824252666</v>
      </c>
      <c r="W158" s="204">
        <f t="shared" si="175"/>
        <v>350</v>
      </c>
      <c r="X158" s="455">
        <f t="shared" si="176"/>
        <v>257.36389164894081</v>
      </c>
      <c r="Z158" s="224">
        <f t="shared" si="177"/>
        <v>0.29459717771406085</v>
      </c>
      <c r="AA158" s="180">
        <f t="shared" si="178"/>
        <v>1.2368583797155226</v>
      </c>
      <c r="AB158" s="180">
        <f t="shared" si="234"/>
        <v>3.7720509310379111E-2</v>
      </c>
      <c r="AC158" s="180"/>
      <c r="AD158" s="180">
        <f t="shared" si="180"/>
        <v>1.217557251908397</v>
      </c>
      <c r="AE158" s="564">
        <f t="shared" si="235"/>
        <v>459.6136325030497</v>
      </c>
      <c r="AF158" s="547">
        <f t="shared" si="236"/>
        <v>3.6552440597785188E-2</v>
      </c>
      <c r="AH158" s="180">
        <f t="shared" si="237"/>
        <v>0.32591927930605247</v>
      </c>
      <c r="AI158" s="180">
        <f t="shared" si="238"/>
        <v>0.40063511450381678</v>
      </c>
      <c r="AJ158" s="180">
        <f t="shared" si="239"/>
        <v>1.2819519366694938</v>
      </c>
      <c r="AL158" s="564">
        <f t="shared" si="240"/>
        <v>48</v>
      </c>
      <c r="AM158" s="473">
        <f t="shared" si="241"/>
        <v>257.36389164894081</v>
      </c>
      <c r="AO158">
        <f t="shared" si="188"/>
        <v>48</v>
      </c>
      <c r="AP158">
        <f t="shared" si="189"/>
        <v>257.36389164894081</v>
      </c>
      <c r="AR158" s="5">
        <f t="shared" si="225"/>
        <v>3.8855489540236579</v>
      </c>
      <c r="AS158" s="5">
        <f t="shared" si="222"/>
        <v>2.2034931297709925</v>
      </c>
      <c r="AT158" s="5">
        <f t="shared" si="223"/>
        <v>1.6820558242526653</v>
      </c>
      <c r="AU158" s="180">
        <f t="shared" si="224"/>
        <v>0.56709956709956721</v>
      </c>
      <c r="AW158" s="5">
        <f t="shared" si="193"/>
        <v>1.6788519083969466</v>
      </c>
      <c r="AX158" s="5">
        <f t="shared" si="194"/>
        <v>0.70511780152671766</v>
      </c>
      <c r="AY158" s="5">
        <f t="shared" si="195"/>
        <v>4.7097563079074631E-2</v>
      </c>
      <c r="AZ158" s="5"/>
      <c r="BA158" s="180">
        <f t="shared" si="196"/>
        <v>0.17418792343832487</v>
      </c>
      <c r="BB158" s="180">
        <f t="shared" si="197"/>
        <v>9.0027115546984809E-2</v>
      </c>
      <c r="BC158" s="180">
        <f t="shared" si="198"/>
        <v>9.2065200130015692E-2</v>
      </c>
      <c r="BD158" s="180"/>
      <c r="BE158" s="547">
        <f t="shared" si="199"/>
        <v>1.0619501435114503E-2</v>
      </c>
      <c r="BF158" s="547">
        <f t="shared" si="200"/>
        <v>2.3818181818181822E-2</v>
      </c>
      <c r="BG158" s="547">
        <f t="shared" si="201"/>
        <v>3.2170486456117599E-3</v>
      </c>
      <c r="BH158" s="547">
        <f t="shared" si="202"/>
        <v>7.8965869078104992E-3</v>
      </c>
      <c r="BI158">
        <f t="shared" si="203"/>
        <v>2.8999999999999998E-3</v>
      </c>
      <c r="BJ158" s="473">
        <f t="shared" si="204"/>
        <v>48.451318806718582</v>
      </c>
      <c r="BK158" s="180">
        <f t="shared" si="205"/>
        <v>1.6799999999999999E-2</v>
      </c>
      <c r="BL158" s="180">
        <f t="shared" si="206"/>
        <v>1.6799999999999999E-2</v>
      </c>
      <c r="BM158" s="547"/>
      <c r="BO158" s="473">
        <f t="shared" si="207"/>
        <v>33.6</v>
      </c>
      <c r="BP158" s="547">
        <f t="shared" si="208"/>
        <v>3.3375575938931297E-3</v>
      </c>
      <c r="BQ158" s="547">
        <f t="shared" si="209"/>
        <v>2.836708536798554E-4</v>
      </c>
      <c r="BR158" s="547">
        <f t="shared" si="210"/>
        <v>2.5428003224939528E-4</v>
      </c>
      <c r="BS158" s="547">
        <f t="shared" si="211"/>
        <v>5.3977351343344505E-3</v>
      </c>
      <c r="BT158" s="657">
        <f t="shared" si="242"/>
        <v>4.130909090909092E-2</v>
      </c>
      <c r="BU158" s="473">
        <f t="shared" si="213"/>
        <v>50.582334523247752</v>
      </c>
      <c r="BV158" s="180">
        <f t="shared" si="214"/>
        <v>0.13263365332996632</v>
      </c>
      <c r="BW158" s="5">
        <f t="shared" si="215"/>
        <v>1.0224</v>
      </c>
      <c r="BX158" s="180">
        <f t="shared" si="216"/>
        <v>0.88516901395246539</v>
      </c>
      <c r="BY158" s="5">
        <f t="shared" si="217"/>
        <v>88.516901395246535</v>
      </c>
      <c r="BZ158">
        <f t="shared" si="218"/>
        <v>48</v>
      </c>
      <c r="CB158" s="582">
        <f t="shared" si="243"/>
        <v>-50</v>
      </c>
      <c r="CC158">
        <f t="shared" si="244"/>
        <v>-50</v>
      </c>
    </row>
    <row r="159" spans="5:81" x14ac:dyDescent="0.25">
      <c r="E159" s="177">
        <v>49</v>
      </c>
      <c r="F159" s="224">
        <f t="shared" si="245"/>
        <v>4.9000000000000002E-2</v>
      </c>
      <c r="G159" s="224">
        <f t="shared" si="226"/>
        <v>4.9000000000000002E-2</v>
      </c>
      <c r="H159" s="224">
        <f t="shared" si="227"/>
        <v>0.30870000000000003</v>
      </c>
      <c r="I159" s="224">
        <f t="shared" si="228"/>
        <v>0.73499999999999999</v>
      </c>
      <c r="J159" s="560">
        <f t="shared" si="163"/>
        <v>10</v>
      </c>
      <c r="K159" s="455">
        <f t="shared" si="164"/>
        <v>13.1</v>
      </c>
      <c r="L159" s="455">
        <f t="shared" si="165"/>
        <v>23.1</v>
      </c>
      <c r="M159" s="455"/>
      <c r="N159" s="224">
        <f t="shared" si="166"/>
        <v>0.5670995670995671</v>
      </c>
      <c r="O159" s="179">
        <f t="shared" si="229"/>
        <v>1.0944622279129324</v>
      </c>
      <c r="P159" s="179">
        <f t="shared" si="230"/>
        <v>2.6058624474117433</v>
      </c>
      <c r="Q159" s="224">
        <f t="shared" si="169"/>
        <v>0.17372416316078293</v>
      </c>
      <c r="R159" s="224">
        <f t="shared" si="231"/>
        <v>7.2964148527528819E-2</v>
      </c>
      <c r="S159" s="224">
        <f t="shared" si="232"/>
        <v>6.3</v>
      </c>
      <c r="T159" s="224">
        <f t="shared" si="233"/>
        <v>0.40898167938931301</v>
      </c>
      <c r="U159" s="224">
        <f t="shared" si="173"/>
        <v>2.2493992366412217</v>
      </c>
      <c r="V159" s="224">
        <f t="shared" si="174"/>
        <v>1.7170986539245967</v>
      </c>
      <c r="W159" s="204">
        <f t="shared" si="175"/>
        <v>350</v>
      </c>
      <c r="X159" s="455">
        <f t="shared" si="176"/>
        <v>252.11156732957463</v>
      </c>
      <c r="Z159" s="224">
        <f t="shared" si="177"/>
        <v>0.29459717771406085</v>
      </c>
      <c r="AA159" s="180">
        <f t="shared" si="178"/>
        <v>1.2368583797155226</v>
      </c>
      <c r="AB159" s="180">
        <f t="shared" si="234"/>
        <v>3.7720509310379111E-2</v>
      </c>
      <c r="AC159" s="180"/>
      <c r="AD159" s="180">
        <f t="shared" si="180"/>
        <v>1.217557251908397</v>
      </c>
      <c r="AE159" s="564">
        <f t="shared" si="235"/>
        <v>469.18891651353005</v>
      </c>
      <c r="AF159" s="547">
        <f t="shared" si="236"/>
        <v>3.6552440597785188E-2</v>
      </c>
      <c r="AH159" s="180">
        <f t="shared" si="237"/>
        <v>0.32929677137251689</v>
      </c>
      <c r="AI159" s="180">
        <f t="shared" si="238"/>
        <v>0.40898167938931301</v>
      </c>
      <c r="AJ159" s="180">
        <f t="shared" si="239"/>
        <v>1.2881345773254169</v>
      </c>
      <c r="AL159" s="564">
        <f t="shared" si="240"/>
        <v>49</v>
      </c>
      <c r="AM159" s="473">
        <f t="shared" si="241"/>
        <v>252.11156732957463</v>
      </c>
      <c r="AO159">
        <f t="shared" si="188"/>
        <v>49</v>
      </c>
      <c r="AP159">
        <f t="shared" si="189"/>
        <v>252.11156732957463</v>
      </c>
      <c r="AR159" s="5">
        <f t="shared" si="225"/>
        <v>3.9664978905658184</v>
      </c>
      <c r="AS159" s="5">
        <f t="shared" si="222"/>
        <v>2.2493992366412217</v>
      </c>
      <c r="AT159" s="5">
        <f t="shared" si="223"/>
        <v>1.7170986539245967</v>
      </c>
      <c r="AU159" s="180">
        <f t="shared" si="224"/>
        <v>0.5670995670995671</v>
      </c>
      <c r="AW159" s="5">
        <f t="shared" si="193"/>
        <v>1.749532739609839</v>
      </c>
      <c r="AX159" s="5">
        <f t="shared" si="194"/>
        <v>0.73480375063613235</v>
      </c>
      <c r="AY159" s="5">
        <f t="shared" si="195"/>
        <v>4.9080403191344719E-2</v>
      </c>
      <c r="AZ159" s="5"/>
      <c r="BA159" s="180">
        <f t="shared" si="196"/>
        <v>0.17781683850995664</v>
      </c>
      <c r="BB159" s="180">
        <f t="shared" si="197"/>
        <v>9.1902680454213681E-2</v>
      </c>
      <c r="BC159" s="180">
        <f t="shared" si="198"/>
        <v>9.3983225132724377E-2</v>
      </c>
      <c r="BD159" s="180"/>
      <c r="BE159" s="547">
        <f t="shared" si="199"/>
        <v>1.1066589820186599E-2</v>
      </c>
      <c r="BF159" s="547">
        <f t="shared" si="200"/>
        <v>2.3818181818181822E-2</v>
      </c>
      <c r="BG159" s="547">
        <f t="shared" si="201"/>
        <v>3.1513945916196826E-3</v>
      </c>
      <c r="BH159" s="547">
        <f t="shared" si="202"/>
        <v>7.7354320729572223E-3</v>
      </c>
      <c r="BI159">
        <f t="shared" si="203"/>
        <v>2.8999999999999998E-3</v>
      </c>
      <c r="BJ159" s="473">
        <f t="shared" si="204"/>
        <v>48.671598302945334</v>
      </c>
      <c r="BK159" s="180">
        <f t="shared" si="205"/>
        <v>1.7149999999999999E-2</v>
      </c>
      <c r="BL159" s="180">
        <f t="shared" si="206"/>
        <v>1.7149999999999999E-2</v>
      </c>
      <c r="BM159" s="547"/>
      <c r="BO159" s="473">
        <f t="shared" si="207"/>
        <v>34.299999999999997</v>
      </c>
      <c r="BP159" s="547">
        <f t="shared" si="208"/>
        <v>3.4780710863443597E-3</v>
      </c>
      <c r="BQ159" s="547">
        <f t="shared" si="209"/>
        <v>2.9561359361342585E-4</v>
      </c>
      <c r="BR159" s="547">
        <f t="shared" si="210"/>
        <v>2.6498539819045064E-4</v>
      </c>
      <c r="BS159" s="547">
        <f t="shared" si="211"/>
        <v>5.3977351343344583E-3</v>
      </c>
      <c r="BT159" s="657">
        <f t="shared" si="242"/>
        <v>4.2169696969696975E-2</v>
      </c>
      <c r="BU159" s="473">
        <f t="shared" si="213"/>
        <v>51.606102182179669</v>
      </c>
      <c r="BV159" s="180">
        <f t="shared" si="214"/>
        <v>0.13457770048512499</v>
      </c>
      <c r="BW159" s="5">
        <f t="shared" si="215"/>
        <v>1.0437000000000001</v>
      </c>
      <c r="BX159" s="180">
        <f t="shared" si="216"/>
        <v>0.88578439494380989</v>
      </c>
      <c r="BY159" s="5">
        <f t="shared" si="217"/>
        <v>88.578439494380987</v>
      </c>
      <c r="BZ159">
        <f t="shared" si="218"/>
        <v>49</v>
      </c>
      <c r="CB159" s="582">
        <f t="shared" si="243"/>
        <v>-50</v>
      </c>
      <c r="CC159">
        <f t="shared" si="244"/>
        <v>-50</v>
      </c>
    </row>
    <row r="160" spans="5:81" x14ac:dyDescent="0.25">
      <c r="E160" s="177">
        <v>50</v>
      </c>
      <c r="F160" s="224">
        <f t="shared" si="245"/>
        <v>0.05</v>
      </c>
      <c r="G160" s="224">
        <f t="shared" si="226"/>
        <v>0.05</v>
      </c>
      <c r="H160" s="224">
        <f t="shared" si="227"/>
        <v>0.315</v>
      </c>
      <c r="I160" s="224">
        <f t="shared" si="228"/>
        <v>0.75</v>
      </c>
      <c r="J160" s="560">
        <f t="shared" si="163"/>
        <v>10</v>
      </c>
      <c r="K160" s="455">
        <f t="shared" si="164"/>
        <v>13.1</v>
      </c>
      <c r="L160" s="455">
        <f t="shared" si="165"/>
        <v>23.1</v>
      </c>
      <c r="M160" s="455"/>
      <c r="N160" s="224">
        <f t="shared" si="166"/>
        <v>0.5670995670995671</v>
      </c>
      <c r="O160" s="179">
        <f t="shared" si="229"/>
        <v>1.0944622279129324</v>
      </c>
      <c r="P160" s="179">
        <f t="shared" si="230"/>
        <v>2.6058624474117433</v>
      </c>
      <c r="Q160" s="224">
        <f t="shared" si="169"/>
        <v>0.17372416316078293</v>
      </c>
      <c r="R160" s="224">
        <f t="shared" si="231"/>
        <v>7.2964148527528819E-2</v>
      </c>
      <c r="S160" s="224">
        <f t="shared" si="232"/>
        <v>6.3</v>
      </c>
      <c r="T160" s="224">
        <f t="shared" si="233"/>
        <v>0.41732824427480913</v>
      </c>
      <c r="U160" s="224">
        <f t="shared" si="173"/>
        <v>2.2953053435114503</v>
      </c>
      <c r="V160" s="224">
        <f t="shared" si="174"/>
        <v>1.752141483596527</v>
      </c>
      <c r="W160" s="204">
        <f t="shared" si="175"/>
        <v>350</v>
      </c>
      <c r="X160" s="455">
        <f t="shared" si="176"/>
        <v>247.06933598298315</v>
      </c>
      <c r="Z160" s="224">
        <f t="shared" si="177"/>
        <v>0.29459717771406085</v>
      </c>
      <c r="AA160" s="180">
        <f t="shared" si="178"/>
        <v>1.2368583797155226</v>
      </c>
      <c r="AB160" s="180">
        <f t="shared" si="234"/>
        <v>3.7720509310379111E-2</v>
      </c>
      <c r="AC160" s="180"/>
      <c r="AD160" s="180">
        <f t="shared" si="180"/>
        <v>1.217557251908397</v>
      </c>
      <c r="AE160" s="564">
        <f t="shared" si="235"/>
        <v>478.76420052401016</v>
      </c>
      <c r="AF160" s="547">
        <f t="shared" si="236"/>
        <v>3.6552440597785188E-2</v>
      </c>
      <c r="AH160" s="180">
        <f t="shared" si="237"/>
        <v>0.33263997151477548</v>
      </c>
      <c r="AI160" s="180">
        <f t="shared" si="238"/>
        <v>0.41732824427480913</v>
      </c>
      <c r="AJ160" s="180">
        <f t="shared" si="239"/>
        <v>1.29431721798134</v>
      </c>
      <c r="AL160" s="564">
        <f t="shared" si="240"/>
        <v>50</v>
      </c>
      <c r="AM160" s="473">
        <f t="shared" si="241"/>
        <v>247.06933598298315</v>
      </c>
      <c r="AO160">
        <f t="shared" si="188"/>
        <v>50</v>
      </c>
      <c r="AP160">
        <f t="shared" si="189"/>
        <v>247.06933598298315</v>
      </c>
      <c r="AR160" s="5">
        <f t="shared" si="225"/>
        <v>4.0474468271079775</v>
      </c>
      <c r="AS160" s="5">
        <f t="shared" si="222"/>
        <v>2.2953053435114503</v>
      </c>
      <c r="AT160" s="5">
        <f t="shared" si="223"/>
        <v>1.7521414835965272</v>
      </c>
      <c r="AU160" s="180">
        <f t="shared" si="224"/>
        <v>0.5670995670995671</v>
      </c>
      <c r="AW160" s="5">
        <f t="shared" si="193"/>
        <v>1.82167090754877</v>
      </c>
      <c r="AX160" s="5">
        <f t="shared" si="194"/>
        <v>0.76510178117048344</v>
      </c>
      <c r="AY160" s="5">
        <f t="shared" si="195"/>
        <v>5.11041266048987E-2</v>
      </c>
      <c r="AZ160" s="5"/>
      <c r="BA160" s="180">
        <f t="shared" si="196"/>
        <v>0.18144575358158838</v>
      </c>
      <c r="BB160" s="180">
        <f t="shared" si="197"/>
        <v>9.3778245361442525E-2</v>
      </c>
      <c r="BC160" s="180">
        <f t="shared" si="198"/>
        <v>9.5901250135433033E-2</v>
      </c>
      <c r="BD160" s="180"/>
      <c r="BE160" s="547">
        <f t="shared" si="199"/>
        <v>1.1522896522476671E-2</v>
      </c>
      <c r="BF160" s="547">
        <f t="shared" si="200"/>
        <v>2.3818181818181818E-2</v>
      </c>
      <c r="BG160" s="547">
        <f t="shared" si="201"/>
        <v>3.0883666997872893E-3</v>
      </c>
      <c r="BH160" s="547">
        <f t="shared" si="202"/>
        <v>7.5807234314980787E-3</v>
      </c>
      <c r="BI160">
        <f t="shared" si="203"/>
        <v>2.8999999999999998E-3</v>
      </c>
      <c r="BJ160" s="473">
        <f t="shared" si="204"/>
        <v>48.910168471943855</v>
      </c>
      <c r="BK160" s="180">
        <f t="shared" si="205"/>
        <v>1.7499999999999998E-2</v>
      </c>
      <c r="BL160" s="180">
        <f t="shared" si="206"/>
        <v>1.7499999999999998E-2</v>
      </c>
      <c r="BM160" s="547"/>
      <c r="BO160" s="473">
        <f t="shared" si="207"/>
        <v>34.999999999999993</v>
      </c>
      <c r="BP160" s="547">
        <f t="shared" si="208"/>
        <v>3.621481764206954E-3</v>
      </c>
      <c r="BQ160" s="547">
        <f t="shared" si="209"/>
        <v>3.0780257560748212E-4</v>
      </c>
      <c r="BR160" s="547">
        <f t="shared" si="210"/>
        <v>2.7591149332616686E-4</v>
      </c>
      <c r="BS160" s="547">
        <f t="shared" si="211"/>
        <v>5.3977351343344549E-3</v>
      </c>
      <c r="BT160" s="657">
        <f t="shared" si="242"/>
        <v>4.3030303030303023E-2</v>
      </c>
      <c r="BU160" s="473">
        <f t="shared" si="213"/>
        <v>52.633233997778085</v>
      </c>
      <c r="BV160" s="180">
        <f t="shared" si="214"/>
        <v>0.13654340246972194</v>
      </c>
      <c r="BW160" s="5">
        <f t="shared" si="215"/>
        <v>1.0649999999999999</v>
      </c>
      <c r="BX160" s="180">
        <f t="shared" si="216"/>
        <v>0.88635999150004685</v>
      </c>
      <c r="BY160" s="5">
        <f t="shared" si="217"/>
        <v>88.635999150004679</v>
      </c>
      <c r="BZ160">
        <f t="shared" si="218"/>
        <v>50</v>
      </c>
      <c r="CB160" s="582">
        <f t="shared" si="243"/>
        <v>-50</v>
      </c>
      <c r="CC160">
        <f t="shared" si="244"/>
        <v>-50</v>
      </c>
    </row>
    <row r="161" spans="5:81" x14ac:dyDescent="0.25">
      <c r="E161" s="177">
        <v>51</v>
      </c>
      <c r="F161" s="224">
        <f t="shared" si="245"/>
        <v>5.1000000000000004E-2</v>
      </c>
      <c r="G161" s="224">
        <f t="shared" si="226"/>
        <v>5.1000000000000004E-2</v>
      </c>
      <c r="H161" s="224">
        <f t="shared" si="227"/>
        <v>0.32130000000000003</v>
      </c>
      <c r="I161" s="224">
        <f t="shared" si="228"/>
        <v>0.76500000000000001</v>
      </c>
      <c r="J161" s="560">
        <f t="shared" si="163"/>
        <v>10</v>
      </c>
      <c r="K161" s="455">
        <f t="shared" si="164"/>
        <v>13.1</v>
      </c>
      <c r="L161" s="455">
        <f t="shared" si="165"/>
        <v>23.1</v>
      </c>
      <c r="M161" s="455"/>
      <c r="N161" s="224">
        <f t="shared" si="166"/>
        <v>0.5670995670995671</v>
      </c>
      <c r="O161" s="179">
        <f t="shared" si="229"/>
        <v>1.0944622279129324</v>
      </c>
      <c r="P161" s="179">
        <f t="shared" si="230"/>
        <v>2.6058624474117433</v>
      </c>
      <c r="Q161" s="224">
        <f t="shared" si="169"/>
        <v>0.17372416316078293</v>
      </c>
      <c r="R161" s="224">
        <f t="shared" si="231"/>
        <v>7.2964148527528819E-2</v>
      </c>
      <c r="S161" s="224">
        <f t="shared" si="232"/>
        <v>6.3</v>
      </c>
      <c r="T161" s="224">
        <f t="shared" si="233"/>
        <v>0.42567480916030537</v>
      </c>
      <c r="U161" s="224">
        <f t="shared" si="173"/>
        <v>2.3412114503816799</v>
      </c>
      <c r="V161" s="224">
        <f t="shared" si="174"/>
        <v>1.7871843132684577</v>
      </c>
      <c r="W161" s="204">
        <f t="shared" si="175"/>
        <v>350</v>
      </c>
      <c r="X161" s="455">
        <f t="shared" si="176"/>
        <v>242.22483919900304</v>
      </c>
      <c r="Z161" s="224">
        <f t="shared" si="177"/>
        <v>0.29459717771406085</v>
      </c>
      <c r="AA161" s="180">
        <f t="shared" si="178"/>
        <v>1.2368583797155226</v>
      </c>
      <c r="AB161" s="180">
        <f t="shared" si="234"/>
        <v>3.7720509310379111E-2</v>
      </c>
      <c r="AC161" s="180"/>
      <c r="AD161" s="180">
        <f t="shared" si="180"/>
        <v>1.217557251908397</v>
      </c>
      <c r="AE161" s="564">
        <f t="shared" si="235"/>
        <v>488.3394845344904</v>
      </c>
      <c r="AF161" s="547">
        <f t="shared" si="236"/>
        <v>3.6552440597785188E-2</v>
      </c>
      <c r="AH161" s="180">
        <f t="shared" si="237"/>
        <v>0.33594990350100962</v>
      </c>
      <c r="AI161" s="180">
        <f t="shared" si="238"/>
        <v>0.42567480916030537</v>
      </c>
      <c r="AJ161" s="180">
        <f t="shared" si="239"/>
        <v>1.3004998586372631</v>
      </c>
      <c r="AL161" s="564">
        <f t="shared" si="240"/>
        <v>51.000000000000007</v>
      </c>
      <c r="AM161" s="473">
        <f t="shared" si="241"/>
        <v>242.22483919900304</v>
      </c>
      <c r="AO161">
        <f t="shared" si="188"/>
        <v>51.000000000000007</v>
      </c>
      <c r="AP161">
        <f t="shared" si="189"/>
        <v>242.22483919900304</v>
      </c>
      <c r="AR161" s="5">
        <f t="shared" si="225"/>
        <v>4.1283957636501381</v>
      </c>
      <c r="AS161" s="5">
        <f t="shared" si="222"/>
        <v>2.3412114503816799</v>
      </c>
      <c r="AT161" s="5">
        <f t="shared" si="223"/>
        <v>1.7871843132684582</v>
      </c>
      <c r="AU161" s="180">
        <f t="shared" si="224"/>
        <v>0.5670995670995671</v>
      </c>
      <c r="AW161" s="5">
        <f t="shared" si="193"/>
        <v>1.895266412213741</v>
      </c>
      <c r="AX161" s="5">
        <f t="shared" si="194"/>
        <v>0.79601189312977116</v>
      </c>
      <c r="AY161" s="5">
        <f t="shared" si="195"/>
        <v>5.3168733319736629E-2</v>
      </c>
      <c r="AZ161" s="5"/>
      <c r="BA161" s="180">
        <f t="shared" si="196"/>
        <v>0.18507466865322017</v>
      </c>
      <c r="BB161" s="180">
        <f t="shared" si="197"/>
        <v>9.5653810268671383E-2</v>
      </c>
      <c r="BC161" s="180">
        <f t="shared" si="198"/>
        <v>9.7819275138141704E-2</v>
      </c>
      <c r="BD161" s="180"/>
      <c r="BE161" s="547">
        <f t="shared" si="199"/>
        <v>1.1988421541984734E-2</v>
      </c>
      <c r="BF161" s="547">
        <f t="shared" si="200"/>
        <v>2.3818181818181818E-2</v>
      </c>
      <c r="BG161" s="547">
        <f t="shared" si="201"/>
        <v>3.0278104899875377E-3</v>
      </c>
      <c r="BH161" s="547">
        <f t="shared" si="202"/>
        <v>7.4320817955863504E-3</v>
      </c>
      <c r="BI161">
        <f t="shared" si="203"/>
        <v>2.8999999999999998E-3</v>
      </c>
      <c r="BJ161" s="473">
        <f t="shared" si="204"/>
        <v>49.16649564574044</v>
      </c>
      <c r="BK161" s="180">
        <f t="shared" si="205"/>
        <v>1.7850000000000001E-2</v>
      </c>
      <c r="BL161" s="180">
        <f t="shared" si="206"/>
        <v>1.7850000000000001E-2</v>
      </c>
      <c r="BM161" s="547"/>
      <c r="BO161" s="473">
        <f t="shared" si="207"/>
        <v>35.700000000000003</v>
      </c>
      <c r="BP161" s="547">
        <f t="shared" si="208"/>
        <v>3.7677896274809163E-3</v>
      </c>
      <c r="BQ161" s="547">
        <f t="shared" si="209"/>
        <v>3.2023779966202444E-4</v>
      </c>
      <c r="BR161" s="547">
        <f t="shared" si="210"/>
        <v>2.87058317656544E-4</v>
      </c>
      <c r="BS161" s="547">
        <f t="shared" si="211"/>
        <v>5.3977351343344488E-3</v>
      </c>
      <c r="BT161" s="657">
        <f t="shared" si="242"/>
        <v>4.3890909090909092E-2</v>
      </c>
      <c r="BU161" s="473">
        <f t="shared" si="213"/>
        <v>53.663729970043022</v>
      </c>
      <c r="BV161" s="180">
        <f t="shared" si="214"/>
        <v>0.13853022561578349</v>
      </c>
      <c r="BW161" s="5">
        <f t="shared" si="215"/>
        <v>1.0863</v>
      </c>
      <c r="BX161" s="180">
        <f t="shared" si="216"/>
        <v>0.88689842664020035</v>
      </c>
      <c r="BY161" s="5">
        <f t="shared" si="217"/>
        <v>88.689842664020034</v>
      </c>
      <c r="BZ161">
        <f t="shared" si="218"/>
        <v>51</v>
      </c>
      <c r="CB161" s="582">
        <f t="shared" si="243"/>
        <v>-50</v>
      </c>
      <c r="CC161">
        <f t="shared" si="244"/>
        <v>-50</v>
      </c>
    </row>
    <row r="162" spans="5:81" x14ac:dyDescent="0.25">
      <c r="E162" s="177">
        <v>52</v>
      </c>
      <c r="F162" s="224">
        <f t="shared" si="245"/>
        <v>5.2000000000000005E-2</v>
      </c>
      <c r="G162" s="224">
        <f t="shared" si="226"/>
        <v>5.2000000000000005E-2</v>
      </c>
      <c r="H162" s="224">
        <f t="shared" si="227"/>
        <v>0.3276</v>
      </c>
      <c r="I162" s="224">
        <f t="shared" si="228"/>
        <v>0.78</v>
      </c>
      <c r="J162" s="560">
        <f t="shared" si="163"/>
        <v>10</v>
      </c>
      <c r="K162" s="455">
        <f t="shared" si="164"/>
        <v>13.1</v>
      </c>
      <c r="L162" s="455">
        <f t="shared" si="165"/>
        <v>23.1</v>
      </c>
      <c r="M162" s="455"/>
      <c r="N162" s="224">
        <f t="shared" si="166"/>
        <v>0.5670995670995671</v>
      </c>
      <c r="O162" s="179">
        <f t="shared" si="229"/>
        <v>1.0944622279129324</v>
      </c>
      <c r="P162" s="179">
        <f t="shared" si="230"/>
        <v>2.6058624474117433</v>
      </c>
      <c r="Q162" s="224">
        <f t="shared" si="169"/>
        <v>0.17372416316078293</v>
      </c>
      <c r="R162" s="224">
        <f t="shared" si="231"/>
        <v>7.2964148527528819E-2</v>
      </c>
      <c r="S162" s="224">
        <f t="shared" si="232"/>
        <v>6.3</v>
      </c>
      <c r="T162" s="224">
        <f t="shared" si="233"/>
        <v>0.4340213740458016</v>
      </c>
      <c r="U162" s="224">
        <f t="shared" si="173"/>
        <v>2.387117557251909</v>
      </c>
      <c r="V162" s="224">
        <f t="shared" si="174"/>
        <v>1.8222271429403885</v>
      </c>
      <c r="W162" s="204">
        <f t="shared" si="175"/>
        <v>350</v>
      </c>
      <c r="X162" s="455">
        <f t="shared" si="176"/>
        <v>237.5666692144068</v>
      </c>
      <c r="Z162" s="224">
        <f t="shared" si="177"/>
        <v>0.29459717771406085</v>
      </c>
      <c r="AA162" s="180">
        <f t="shared" si="178"/>
        <v>1.2368583797155226</v>
      </c>
      <c r="AB162" s="180">
        <f t="shared" si="234"/>
        <v>3.7720509310379111E-2</v>
      </c>
      <c r="AC162" s="180"/>
      <c r="AD162" s="180">
        <f t="shared" si="180"/>
        <v>1.217557251908397</v>
      </c>
      <c r="AE162" s="564">
        <f t="shared" si="235"/>
        <v>497.91476854497063</v>
      </c>
      <c r="AF162" s="547">
        <f t="shared" si="236"/>
        <v>3.6552440597785188E-2</v>
      </c>
      <c r="AH162" s="180">
        <f t="shared" si="237"/>
        <v>0.33922754115095771</v>
      </c>
      <c r="AI162" s="180">
        <f t="shared" si="238"/>
        <v>0.4340213740458016</v>
      </c>
      <c r="AJ162" s="180">
        <f t="shared" si="239"/>
        <v>1.3066824992931863</v>
      </c>
      <c r="AL162" s="564">
        <f t="shared" si="240"/>
        <v>52.000000000000007</v>
      </c>
      <c r="AM162" s="473">
        <f t="shared" si="241"/>
        <v>237.5666692144068</v>
      </c>
      <c r="AO162">
        <f t="shared" si="188"/>
        <v>52.000000000000007</v>
      </c>
      <c r="AP162">
        <f t="shared" si="189"/>
        <v>237.5666692144068</v>
      </c>
      <c r="AR162" s="5">
        <f t="shared" si="225"/>
        <v>4.2093447001922977</v>
      </c>
      <c r="AS162" s="5">
        <f t="shared" si="222"/>
        <v>2.387117557251909</v>
      </c>
      <c r="AT162" s="5">
        <f t="shared" si="223"/>
        <v>1.8222271429403887</v>
      </c>
      <c r="AU162" s="180">
        <f t="shared" si="224"/>
        <v>0.5670995670995671</v>
      </c>
      <c r="AW162" s="5">
        <f t="shared" si="193"/>
        <v>1.9703192536047505</v>
      </c>
      <c r="AX162" s="5">
        <f t="shared" si="194"/>
        <v>0.82753408651399518</v>
      </c>
      <c r="AY162" s="5">
        <f t="shared" si="195"/>
        <v>5.5274223335858449E-2</v>
      </c>
      <c r="AZ162" s="5"/>
      <c r="BA162" s="180">
        <f t="shared" si="196"/>
        <v>0.18870358372485196</v>
      </c>
      <c r="BB162" s="180">
        <f t="shared" si="197"/>
        <v>9.752937517590024E-2</v>
      </c>
      <c r="BC162" s="180">
        <f t="shared" si="198"/>
        <v>9.9737300140850388E-2</v>
      </c>
      <c r="BD162" s="180"/>
      <c r="BE162" s="547">
        <f t="shared" si="199"/>
        <v>1.2463164878710775E-2</v>
      </c>
      <c r="BF162" s="547">
        <f t="shared" si="200"/>
        <v>2.3818181818181822E-2</v>
      </c>
      <c r="BG162" s="547">
        <f t="shared" si="201"/>
        <v>2.9695833651800846E-3</v>
      </c>
      <c r="BH162" s="547">
        <f t="shared" si="202"/>
        <v>7.2891571456712269E-3</v>
      </c>
      <c r="BI162">
        <f t="shared" si="203"/>
        <v>2.8999999999999998E-3</v>
      </c>
      <c r="BJ162" s="473">
        <f t="shared" si="204"/>
        <v>49.440087207743915</v>
      </c>
      <c r="BK162" s="180">
        <f t="shared" si="205"/>
        <v>1.8200000000000001E-2</v>
      </c>
      <c r="BL162" s="180">
        <f t="shared" si="206"/>
        <v>1.8200000000000001E-2</v>
      </c>
      <c r="BM162" s="547"/>
      <c r="BO162" s="473">
        <f t="shared" si="207"/>
        <v>36.4</v>
      </c>
      <c r="BP162" s="547">
        <f t="shared" si="208"/>
        <v>3.9169946761662437E-3</v>
      </c>
      <c r="BQ162" s="547">
        <f t="shared" si="209"/>
        <v>3.3291926577705275E-4</v>
      </c>
      <c r="BR162" s="547">
        <f t="shared" si="210"/>
        <v>2.9842587118158223E-4</v>
      </c>
      <c r="BS162" s="547">
        <f t="shared" si="211"/>
        <v>5.3977351343344583E-3</v>
      </c>
      <c r="BT162" s="657">
        <f t="shared" si="242"/>
        <v>4.475151515151516E-2</v>
      </c>
      <c r="BU162" s="473">
        <f t="shared" si="213"/>
        <v>54.697590098974501</v>
      </c>
      <c r="BV162" s="180">
        <f t="shared" si="214"/>
        <v>0.1405376773067184</v>
      </c>
      <c r="BW162" s="5">
        <f t="shared" si="215"/>
        <v>1.1076000000000001</v>
      </c>
      <c r="BX162" s="180">
        <f t="shared" si="216"/>
        <v>0.88740210325997348</v>
      </c>
      <c r="BY162" s="5">
        <f t="shared" si="217"/>
        <v>88.740210325997353</v>
      </c>
      <c r="BZ162">
        <f t="shared" si="218"/>
        <v>52</v>
      </c>
      <c r="CB162" s="582">
        <f t="shared" si="243"/>
        <v>-50</v>
      </c>
      <c r="CC162">
        <f t="shared" si="244"/>
        <v>-50</v>
      </c>
    </row>
    <row r="163" spans="5:81" x14ac:dyDescent="0.25">
      <c r="E163" s="177">
        <v>53</v>
      </c>
      <c r="F163" s="224">
        <f t="shared" si="245"/>
        <v>5.3000000000000005E-2</v>
      </c>
      <c r="G163" s="224">
        <f t="shared" si="226"/>
        <v>5.3000000000000005E-2</v>
      </c>
      <c r="H163" s="224">
        <f t="shared" si="227"/>
        <v>0.33390000000000003</v>
      </c>
      <c r="I163" s="224">
        <f t="shared" si="228"/>
        <v>0.79500000000000004</v>
      </c>
      <c r="J163" s="560">
        <f t="shared" si="163"/>
        <v>10</v>
      </c>
      <c r="K163" s="455">
        <f t="shared" si="164"/>
        <v>13.1</v>
      </c>
      <c r="L163" s="455">
        <f t="shared" si="165"/>
        <v>23.1</v>
      </c>
      <c r="M163" s="455"/>
      <c r="N163" s="224">
        <f t="shared" si="166"/>
        <v>0.5670995670995671</v>
      </c>
      <c r="O163" s="179">
        <f t="shared" si="229"/>
        <v>1.0944622279129324</v>
      </c>
      <c r="P163" s="179">
        <f t="shared" si="230"/>
        <v>2.6058624474117433</v>
      </c>
      <c r="Q163" s="224">
        <f t="shared" si="169"/>
        <v>0.17372416316078293</v>
      </c>
      <c r="R163" s="224">
        <f t="shared" si="231"/>
        <v>7.2964148527528819E-2</v>
      </c>
      <c r="S163" s="224">
        <f t="shared" si="232"/>
        <v>6.3</v>
      </c>
      <c r="T163" s="224">
        <f t="shared" si="233"/>
        <v>0.44236793893129772</v>
      </c>
      <c r="U163" s="224">
        <f t="shared" si="173"/>
        <v>2.4330236641221377</v>
      </c>
      <c r="V163" s="224">
        <f t="shared" si="174"/>
        <v>1.8572699726123187</v>
      </c>
      <c r="W163" s="204">
        <f t="shared" si="175"/>
        <v>350</v>
      </c>
      <c r="X163" s="455">
        <f t="shared" si="176"/>
        <v>233.08427922922937</v>
      </c>
      <c r="Z163" s="224">
        <f t="shared" si="177"/>
        <v>0.29459717771406085</v>
      </c>
      <c r="AA163" s="180">
        <f t="shared" si="178"/>
        <v>1.2368583797155226</v>
      </c>
      <c r="AB163" s="180">
        <f t="shared" si="234"/>
        <v>3.7720509310379111E-2</v>
      </c>
      <c r="AC163" s="180"/>
      <c r="AD163" s="180">
        <f t="shared" si="180"/>
        <v>1.217557251908397</v>
      </c>
      <c r="AE163" s="564">
        <f t="shared" si="235"/>
        <v>507.4900525554508</v>
      </c>
      <c r="AF163" s="547">
        <f t="shared" si="236"/>
        <v>3.6552440597785188E-2</v>
      </c>
      <c r="AH163" s="180">
        <f t="shared" si="237"/>
        <v>0.342473811682458</v>
      </c>
      <c r="AI163" s="180">
        <f t="shared" si="238"/>
        <v>0.44236793893129772</v>
      </c>
      <c r="AJ163" s="180">
        <f t="shared" si="239"/>
        <v>1.3128651399491094</v>
      </c>
      <c r="AL163" s="564">
        <f t="shared" si="240"/>
        <v>53.000000000000007</v>
      </c>
      <c r="AM163" s="473">
        <f t="shared" si="241"/>
        <v>233.08427922922937</v>
      </c>
      <c r="AO163">
        <f t="shared" si="188"/>
        <v>53.000000000000007</v>
      </c>
      <c r="AP163">
        <f t="shared" si="189"/>
        <v>233.08427922922937</v>
      </c>
      <c r="AR163" s="5">
        <f t="shared" si="225"/>
        <v>4.2902936367344564</v>
      </c>
      <c r="AS163" s="5">
        <f t="shared" si="222"/>
        <v>2.4330236641221377</v>
      </c>
      <c r="AT163" s="5">
        <f t="shared" si="223"/>
        <v>1.8572699726123187</v>
      </c>
      <c r="AU163" s="180">
        <f t="shared" si="224"/>
        <v>0.5670995670995671</v>
      </c>
      <c r="AW163" s="5">
        <f t="shared" si="193"/>
        <v>2.0468294317217985</v>
      </c>
      <c r="AX163" s="5">
        <f t="shared" si="194"/>
        <v>0.85966836132315538</v>
      </c>
      <c r="AY163" s="5">
        <f t="shared" si="195"/>
        <v>5.742059665326419E-2</v>
      </c>
      <c r="AZ163" s="5"/>
      <c r="BA163" s="180">
        <f t="shared" si="196"/>
        <v>0.1923324987964837</v>
      </c>
      <c r="BB163" s="180">
        <f t="shared" si="197"/>
        <v>9.940494008312907E-2</v>
      </c>
      <c r="BC163" s="180">
        <f t="shared" si="198"/>
        <v>0.10165532514355902</v>
      </c>
      <c r="BD163" s="180"/>
      <c r="BE163" s="547">
        <f t="shared" si="199"/>
        <v>1.2947126532654792E-2</v>
      </c>
      <c r="BF163" s="547">
        <f t="shared" si="200"/>
        <v>2.3818181818181818E-2</v>
      </c>
      <c r="BG163" s="547">
        <f t="shared" si="201"/>
        <v>2.913553490365367E-3</v>
      </c>
      <c r="BH163" s="547">
        <f t="shared" si="202"/>
        <v>7.1516258787717715E-3</v>
      </c>
      <c r="BI163">
        <f t="shared" si="203"/>
        <v>2.8999999999999998E-3</v>
      </c>
      <c r="BJ163" s="473">
        <f t="shared" si="204"/>
        <v>49.730487719973745</v>
      </c>
      <c r="BK163" s="180">
        <f t="shared" si="205"/>
        <v>1.8550000000000001E-2</v>
      </c>
      <c r="BL163" s="180">
        <f t="shared" si="206"/>
        <v>1.8550000000000001E-2</v>
      </c>
      <c r="BM163" s="547"/>
      <c r="BO163" s="473">
        <f t="shared" si="207"/>
        <v>37.1</v>
      </c>
      <c r="BP163" s="547">
        <f t="shared" si="208"/>
        <v>4.0690969102629348E-3</v>
      </c>
      <c r="BQ163" s="547">
        <f t="shared" si="209"/>
        <v>3.4584697395256684E-4</v>
      </c>
      <c r="BR163" s="547">
        <f t="shared" si="210"/>
        <v>3.1001415390128105E-4</v>
      </c>
      <c r="BS163" s="547">
        <f t="shared" si="211"/>
        <v>5.3977351343344479E-3</v>
      </c>
      <c r="BT163" s="657">
        <f t="shared" si="242"/>
        <v>4.5612121212121215E-2</v>
      </c>
      <c r="BU163" s="473">
        <f t="shared" si="213"/>
        <v>55.734814384572445</v>
      </c>
      <c r="BV163" s="180">
        <f t="shared" si="214"/>
        <v>0.14256530210454618</v>
      </c>
      <c r="BW163" s="5">
        <f t="shared" si="215"/>
        <v>1.1289</v>
      </c>
      <c r="BX163" s="180">
        <f t="shared" si="216"/>
        <v>0.88787322637230437</v>
      </c>
      <c r="BY163" s="5">
        <f t="shared" si="217"/>
        <v>88.787322637230432</v>
      </c>
      <c r="BZ163">
        <f t="shared" si="218"/>
        <v>53</v>
      </c>
      <c r="CB163" s="582">
        <f t="shared" si="243"/>
        <v>-50</v>
      </c>
      <c r="CC163">
        <f t="shared" si="244"/>
        <v>-50</v>
      </c>
    </row>
    <row r="164" spans="5:81" x14ac:dyDescent="0.25">
      <c r="E164" s="177">
        <v>54</v>
      </c>
      <c r="F164" s="224">
        <f t="shared" si="245"/>
        <v>5.4000000000000006E-2</v>
      </c>
      <c r="G164" s="224">
        <f t="shared" si="226"/>
        <v>5.4000000000000006E-2</v>
      </c>
      <c r="H164" s="224">
        <f t="shared" si="227"/>
        <v>0.34020000000000006</v>
      </c>
      <c r="I164" s="224">
        <f t="shared" si="228"/>
        <v>0.81</v>
      </c>
      <c r="J164" s="560">
        <f t="shared" si="163"/>
        <v>10</v>
      </c>
      <c r="K164" s="455">
        <f t="shared" si="164"/>
        <v>13.1</v>
      </c>
      <c r="L164" s="455">
        <f t="shared" si="165"/>
        <v>23.1</v>
      </c>
      <c r="M164" s="455"/>
      <c r="N164" s="224">
        <f t="shared" si="166"/>
        <v>0.5670995670995671</v>
      </c>
      <c r="O164" s="179">
        <f t="shared" si="229"/>
        <v>1.0944622279129324</v>
      </c>
      <c r="P164" s="179">
        <f t="shared" si="230"/>
        <v>2.6058624474117433</v>
      </c>
      <c r="Q164" s="224">
        <f t="shared" si="169"/>
        <v>0.17372416316078293</v>
      </c>
      <c r="R164" s="224">
        <f t="shared" si="231"/>
        <v>7.2964148527528819E-2</v>
      </c>
      <c r="S164" s="224">
        <f t="shared" si="232"/>
        <v>6.3</v>
      </c>
      <c r="T164" s="224">
        <f t="shared" si="233"/>
        <v>0.45071450381679395</v>
      </c>
      <c r="U164" s="224">
        <f t="shared" si="173"/>
        <v>2.4789297709923668</v>
      </c>
      <c r="V164" s="224">
        <f t="shared" si="174"/>
        <v>1.8923128022842495</v>
      </c>
      <c r="W164" s="204">
        <f t="shared" si="175"/>
        <v>350</v>
      </c>
      <c r="X164" s="455">
        <f t="shared" si="176"/>
        <v>228.76790368794732</v>
      </c>
      <c r="Z164" s="224">
        <f t="shared" si="177"/>
        <v>0.29459717771406085</v>
      </c>
      <c r="AA164" s="180">
        <f t="shared" si="178"/>
        <v>1.2368583797155226</v>
      </c>
      <c r="AB164" s="180">
        <f t="shared" si="234"/>
        <v>3.7720509310379111E-2</v>
      </c>
      <c r="AC164" s="180"/>
      <c r="AD164" s="180">
        <f t="shared" si="180"/>
        <v>1.217557251908397</v>
      </c>
      <c r="AE164" s="564">
        <f t="shared" si="235"/>
        <v>517.06533656593103</v>
      </c>
      <c r="AF164" s="547">
        <f t="shared" si="236"/>
        <v>3.6552440597785188E-2</v>
      </c>
      <c r="AH164" s="180">
        <f t="shared" si="237"/>
        <v>0.34568959877511318</v>
      </c>
      <c r="AI164" s="180">
        <f t="shared" si="238"/>
        <v>0.45071450381679395</v>
      </c>
      <c r="AJ164" s="180">
        <f t="shared" si="239"/>
        <v>1.3190477806050325</v>
      </c>
      <c r="AL164" s="564">
        <f t="shared" si="240"/>
        <v>54.000000000000007</v>
      </c>
      <c r="AM164" s="473">
        <f t="shared" si="241"/>
        <v>228.76790368794732</v>
      </c>
      <c r="AO164">
        <f t="shared" si="188"/>
        <v>54.000000000000007</v>
      </c>
      <c r="AP164">
        <f t="shared" si="189"/>
        <v>228.76790368794732</v>
      </c>
      <c r="AR164" s="5">
        <f t="shared" si="225"/>
        <v>4.371242573276616</v>
      </c>
      <c r="AS164" s="5">
        <f t="shared" si="222"/>
        <v>2.4789297709923668</v>
      </c>
      <c r="AT164" s="5">
        <f t="shared" si="223"/>
        <v>1.8923128022842493</v>
      </c>
      <c r="AU164" s="180">
        <f t="shared" si="224"/>
        <v>0.5670995670995671</v>
      </c>
      <c r="AW164" s="5">
        <f t="shared" si="193"/>
        <v>2.1247969465648864</v>
      </c>
      <c r="AX164" s="5">
        <f t="shared" si="194"/>
        <v>0.89241471755725221</v>
      </c>
      <c r="AY164" s="5">
        <f t="shared" si="195"/>
        <v>5.9607853271953851E-2</v>
      </c>
      <c r="AZ164" s="5"/>
      <c r="BA164" s="180">
        <f t="shared" si="196"/>
        <v>0.1959614138681155</v>
      </c>
      <c r="BB164" s="180">
        <f t="shared" si="197"/>
        <v>0.10128050499035794</v>
      </c>
      <c r="BC164" s="180">
        <f t="shared" si="198"/>
        <v>0.10357335014626767</v>
      </c>
      <c r="BD164" s="180"/>
      <c r="BE164" s="547">
        <f t="shared" si="199"/>
        <v>1.3440306503816795E-2</v>
      </c>
      <c r="BF164" s="547">
        <f t="shared" si="200"/>
        <v>2.3818181818181822E-2</v>
      </c>
      <c r="BG164" s="547">
        <f t="shared" si="201"/>
        <v>2.8595987960993415E-3</v>
      </c>
      <c r="BH164" s="547">
        <f t="shared" si="202"/>
        <v>7.0191883624982198E-3</v>
      </c>
      <c r="BI164">
        <f t="shared" si="203"/>
        <v>2.8999999999999998E-3</v>
      </c>
      <c r="BJ164" s="473">
        <f t="shared" si="204"/>
        <v>50.037275480596179</v>
      </c>
      <c r="BK164" s="180">
        <f t="shared" si="205"/>
        <v>1.89E-2</v>
      </c>
      <c r="BL164" s="180">
        <f t="shared" si="206"/>
        <v>1.89E-2</v>
      </c>
      <c r="BM164" s="547"/>
      <c r="BO164" s="473">
        <f t="shared" si="207"/>
        <v>37.799999999999997</v>
      </c>
      <c r="BP164" s="547">
        <f t="shared" si="208"/>
        <v>4.2240963297709927E-3</v>
      </c>
      <c r="BQ164" s="547">
        <f t="shared" si="209"/>
        <v>3.5902092418856724E-4</v>
      </c>
      <c r="BR164" s="547">
        <f t="shared" si="210"/>
        <v>3.21823165815641E-4</v>
      </c>
      <c r="BS164" s="547">
        <f t="shared" si="211"/>
        <v>5.3977351343344471E-3</v>
      </c>
      <c r="BT164" s="657">
        <f t="shared" si="242"/>
        <v>4.6472727272727291E-2</v>
      </c>
      <c r="BU164" s="473">
        <f t="shared" si="213"/>
        <v>56.775402826836938</v>
      </c>
      <c r="BV164" s="180">
        <f t="shared" si="214"/>
        <v>0.14461267830743313</v>
      </c>
      <c r="BW164" s="5">
        <f t="shared" si="215"/>
        <v>1.1502000000000001</v>
      </c>
      <c r="BX164" s="180">
        <f t="shared" si="216"/>
        <v>0.88831382274039095</v>
      </c>
      <c r="BY164" s="5">
        <f t="shared" si="217"/>
        <v>88.8313822740391</v>
      </c>
      <c r="BZ164">
        <f t="shared" si="218"/>
        <v>54</v>
      </c>
      <c r="CB164" s="582">
        <f t="shared" si="243"/>
        <v>-50</v>
      </c>
      <c r="CC164">
        <f t="shared" si="244"/>
        <v>-50</v>
      </c>
    </row>
    <row r="165" spans="5:81" x14ac:dyDescent="0.25">
      <c r="E165" s="177">
        <v>55</v>
      </c>
      <c r="F165" s="224">
        <f t="shared" si="245"/>
        <v>5.5000000000000007E-2</v>
      </c>
      <c r="G165" s="224">
        <f t="shared" si="226"/>
        <v>5.5000000000000007E-2</v>
      </c>
      <c r="H165" s="224">
        <f t="shared" si="227"/>
        <v>0.34650000000000003</v>
      </c>
      <c r="I165" s="224">
        <f t="shared" si="228"/>
        <v>0.82500000000000007</v>
      </c>
      <c r="J165" s="560">
        <f t="shared" si="163"/>
        <v>10</v>
      </c>
      <c r="K165" s="455">
        <f t="shared" si="164"/>
        <v>13.1</v>
      </c>
      <c r="L165" s="455">
        <f t="shared" si="165"/>
        <v>23.1</v>
      </c>
      <c r="M165" s="455"/>
      <c r="N165" s="224">
        <f t="shared" si="166"/>
        <v>0.5670995670995671</v>
      </c>
      <c r="O165" s="179">
        <f t="shared" si="229"/>
        <v>1.0944622279129324</v>
      </c>
      <c r="P165" s="179">
        <f t="shared" si="230"/>
        <v>2.6058624474117433</v>
      </c>
      <c r="Q165" s="224">
        <f t="shared" si="169"/>
        <v>0.17372416316078293</v>
      </c>
      <c r="R165" s="224">
        <f t="shared" si="231"/>
        <v>7.2964148527528819E-2</v>
      </c>
      <c r="S165" s="224">
        <f t="shared" si="232"/>
        <v>6.3</v>
      </c>
      <c r="T165" s="224">
        <f t="shared" si="233"/>
        <v>0.45906106870229008</v>
      </c>
      <c r="U165" s="224">
        <f t="shared" si="173"/>
        <v>2.5248358778625954</v>
      </c>
      <c r="V165" s="224">
        <f t="shared" si="174"/>
        <v>1.92735563195618</v>
      </c>
      <c r="W165" s="204">
        <f t="shared" si="175"/>
        <v>350</v>
      </c>
      <c r="X165" s="455">
        <f t="shared" si="176"/>
        <v>224.60848725725737</v>
      </c>
      <c r="Z165" s="224">
        <f t="shared" si="177"/>
        <v>0.29459717771406085</v>
      </c>
      <c r="AA165" s="180">
        <f t="shared" si="178"/>
        <v>1.2368583797155226</v>
      </c>
      <c r="AB165" s="180">
        <f t="shared" si="234"/>
        <v>3.7720509310379111E-2</v>
      </c>
      <c r="AC165" s="180"/>
      <c r="AD165" s="180">
        <f t="shared" si="180"/>
        <v>1.217557251908397</v>
      </c>
      <c r="AE165" s="564">
        <f t="shared" si="235"/>
        <v>526.64062057641127</v>
      </c>
      <c r="AF165" s="547">
        <f t="shared" si="236"/>
        <v>3.6552440597785188E-2</v>
      </c>
      <c r="AH165" s="180">
        <f t="shared" si="237"/>
        <v>0.34887574537976374</v>
      </c>
      <c r="AI165" s="180">
        <f t="shared" si="238"/>
        <v>0.45906106870229008</v>
      </c>
      <c r="AJ165" s="180">
        <f t="shared" si="239"/>
        <v>1.3252304212609556</v>
      </c>
      <c r="AL165" s="564">
        <f t="shared" si="240"/>
        <v>55.000000000000007</v>
      </c>
      <c r="AM165" s="473">
        <f t="shared" si="241"/>
        <v>224.60848725725737</v>
      </c>
      <c r="AO165">
        <f t="shared" si="188"/>
        <v>55.000000000000007</v>
      </c>
      <c r="AP165">
        <f t="shared" si="189"/>
        <v>224.60848725725737</v>
      </c>
      <c r="AR165" s="5">
        <f t="shared" si="225"/>
        <v>4.4521915098187756</v>
      </c>
      <c r="AS165" s="5">
        <f t="shared" si="222"/>
        <v>2.5248358778625954</v>
      </c>
      <c r="AT165" s="5">
        <f t="shared" si="223"/>
        <v>1.9273556319561802</v>
      </c>
      <c r="AU165" s="180">
        <f t="shared" si="224"/>
        <v>0.56709956709956699</v>
      </c>
      <c r="AW165" s="5">
        <f t="shared" si="193"/>
        <v>2.2042217981340122</v>
      </c>
      <c r="AX165" s="5">
        <f t="shared" si="194"/>
        <v>0.92577315521628512</v>
      </c>
      <c r="AY165" s="5">
        <f t="shared" si="195"/>
        <v>6.1835993191927431E-2</v>
      </c>
      <c r="AZ165" s="5"/>
      <c r="BA165" s="180">
        <f t="shared" si="196"/>
        <v>0.19959032893974721</v>
      </c>
      <c r="BB165" s="180">
        <f t="shared" si="197"/>
        <v>0.1031560698975868</v>
      </c>
      <c r="BC165" s="180">
        <f t="shared" si="198"/>
        <v>0.10549137514897636</v>
      </c>
      <c r="BD165" s="180"/>
      <c r="BE165" s="547">
        <f t="shared" si="199"/>
        <v>1.394270479219677E-2</v>
      </c>
      <c r="BF165" s="547">
        <f t="shared" si="200"/>
        <v>2.3818181818181811E-2</v>
      </c>
      <c r="BG165" s="547">
        <f t="shared" si="201"/>
        <v>2.8076060907157169E-3</v>
      </c>
      <c r="BH165" s="547">
        <f t="shared" si="202"/>
        <v>6.8915667559073428E-3</v>
      </c>
      <c r="BI165">
        <f t="shared" si="203"/>
        <v>2.8999999999999998E-3</v>
      </c>
      <c r="BJ165" s="473">
        <f t="shared" si="204"/>
        <v>50.360059457001647</v>
      </c>
      <c r="BK165" s="180">
        <f t="shared" si="205"/>
        <v>1.925E-2</v>
      </c>
      <c r="BL165" s="180">
        <f t="shared" si="206"/>
        <v>1.925E-2</v>
      </c>
      <c r="BM165" s="547"/>
      <c r="BO165" s="473">
        <f t="shared" si="207"/>
        <v>38.5</v>
      </c>
      <c r="BP165" s="547">
        <f t="shared" si="208"/>
        <v>4.381992934690414E-3</v>
      </c>
      <c r="BQ165" s="547">
        <f t="shared" si="209"/>
        <v>3.7244111648505348E-4</v>
      </c>
      <c r="BR165" s="547">
        <f t="shared" si="210"/>
        <v>3.3385290692466199E-4</v>
      </c>
      <c r="BS165" s="547">
        <f t="shared" si="211"/>
        <v>5.3977351343344479E-3</v>
      </c>
      <c r="BT165" s="657">
        <f t="shared" si="242"/>
        <v>4.7333333333333331E-2</v>
      </c>
      <c r="BU165" s="473">
        <f t="shared" si="213"/>
        <v>57.81935542576791</v>
      </c>
      <c r="BV165" s="180">
        <f t="shared" si="214"/>
        <v>0.14667941488276956</v>
      </c>
      <c r="BW165" s="5">
        <f t="shared" si="215"/>
        <v>1.1715</v>
      </c>
      <c r="BX165" s="180">
        <f t="shared" si="216"/>
        <v>0.88872575824906641</v>
      </c>
      <c r="BY165" s="5">
        <f t="shared" si="217"/>
        <v>88.872575824906647</v>
      </c>
      <c r="BZ165">
        <f t="shared" si="218"/>
        <v>55.000000000000007</v>
      </c>
      <c r="CB165" s="582">
        <f t="shared" si="243"/>
        <v>-50</v>
      </c>
      <c r="CC165">
        <f t="shared" si="244"/>
        <v>-50</v>
      </c>
    </row>
    <row r="166" spans="5:81" x14ac:dyDescent="0.25">
      <c r="E166" s="177">
        <v>56</v>
      </c>
      <c r="F166" s="224">
        <f t="shared" si="245"/>
        <v>5.6000000000000008E-2</v>
      </c>
      <c r="G166" s="224">
        <f t="shared" si="226"/>
        <v>5.6000000000000008E-2</v>
      </c>
      <c r="H166" s="224">
        <f t="shared" si="227"/>
        <v>0.35280000000000006</v>
      </c>
      <c r="I166" s="224">
        <f t="shared" si="228"/>
        <v>0.84000000000000008</v>
      </c>
      <c r="J166" s="560">
        <f t="shared" si="163"/>
        <v>10</v>
      </c>
      <c r="K166" s="455">
        <f t="shared" si="164"/>
        <v>13.1</v>
      </c>
      <c r="L166" s="455">
        <f t="shared" si="165"/>
        <v>23.1</v>
      </c>
      <c r="M166" s="455"/>
      <c r="N166" s="224">
        <f t="shared" si="166"/>
        <v>0.5670995670995671</v>
      </c>
      <c r="O166" s="179">
        <f t="shared" si="229"/>
        <v>1.0944622279129324</v>
      </c>
      <c r="P166" s="179">
        <f t="shared" si="230"/>
        <v>2.6058624474117433</v>
      </c>
      <c r="Q166" s="224">
        <f t="shared" si="169"/>
        <v>0.17372416316078293</v>
      </c>
      <c r="R166" s="224">
        <f t="shared" si="231"/>
        <v>7.2964148527528819E-2</v>
      </c>
      <c r="S166" s="224">
        <f t="shared" si="232"/>
        <v>6.3</v>
      </c>
      <c r="T166" s="224">
        <f t="shared" si="233"/>
        <v>0.46740763358778631</v>
      </c>
      <c r="U166" s="224">
        <f t="shared" si="173"/>
        <v>2.570741984732825</v>
      </c>
      <c r="V166" s="224">
        <f t="shared" si="174"/>
        <v>1.9623984616281107</v>
      </c>
      <c r="W166" s="204">
        <f t="shared" si="175"/>
        <v>350</v>
      </c>
      <c r="X166" s="455">
        <f t="shared" si="176"/>
        <v>220.59762141337779</v>
      </c>
      <c r="Z166" s="224">
        <f t="shared" si="177"/>
        <v>0.29459717771406085</v>
      </c>
      <c r="AA166" s="180">
        <f t="shared" si="178"/>
        <v>1.2368583797155226</v>
      </c>
      <c r="AB166" s="180">
        <f t="shared" si="234"/>
        <v>3.7720509310379111E-2</v>
      </c>
      <c r="AC166" s="180"/>
      <c r="AD166" s="180">
        <f t="shared" si="180"/>
        <v>1.217557251908397</v>
      </c>
      <c r="AE166" s="564">
        <f t="shared" si="235"/>
        <v>536.2159045868915</v>
      </c>
      <c r="AF166" s="547">
        <f t="shared" si="236"/>
        <v>3.6552440597785188E-2</v>
      </c>
      <c r="AH166" s="180">
        <f t="shared" si="237"/>
        <v>0.35203305629908216</v>
      </c>
      <c r="AI166" s="180">
        <f t="shared" si="238"/>
        <v>0.46740763358778631</v>
      </c>
      <c r="AJ166" s="180">
        <f t="shared" si="239"/>
        <v>1.3314130619168787</v>
      </c>
      <c r="AL166" s="564">
        <f t="shared" si="240"/>
        <v>56.000000000000007</v>
      </c>
      <c r="AM166" s="473">
        <f t="shared" si="241"/>
        <v>220.59762141337779</v>
      </c>
      <c r="AO166">
        <f t="shared" si="188"/>
        <v>56.000000000000007</v>
      </c>
      <c r="AP166">
        <f t="shared" si="189"/>
        <v>220.59762141337779</v>
      </c>
      <c r="AR166" s="5">
        <f t="shared" si="225"/>
        <v>4.5331404463609353</v>
      </c>
      <c r="AS166" s="5">
        <f t="shared" si="222"/>
        <v>2.570741984732825</v>
      </c>
      <c r="AT166" s="5">
        <f t="shared" si="223"/>
        <v>1.9623984616281103</v>
      </c>
      <c r="AU166" s="180">
        <f t="shared" si="224"/>
        <v>0.5670995670995671</v>
      </c>
      <c r="AW166" s="5">
        <f t="shared" si="193"/>
        <v>2.2851039864291782</v>
      </c>
      <c r="AX166" s="5">
        <f t="shared" si="194"/>
        <v>0.95974367430025487</v>
      </c>
      <c r="AY166" s="5">
        <f t="shared" si="195"/>
        <v>6.4105016413184945E-2</v>
      </c>
      <c r="AZ166" s="5"/>
      <c r="BA166" s="180">
        <f t="shared" si="196"/>
        <v>0.20321924401137903</v>
      </c>
      <c r="BB166" s="180">
        <f t="shared" si="197"/>
        <v>0.10503163480481564</v>
      </c>
      <c r="BC166" s="180">
        <f t="shared" si="198"/>
        <v>0.10740940015168501</v>
      </c>
      <c r="BD166" s="180"/>
      <c r="BE166" s="547">
        <f t="shared" si="199"/>
        <v>1.4454321397794742E-2</v>
      </c>
      <c r="BF166" s="547">
        <f t="shared" si="200"/>
        <v>2.3818181818181822E-2</v>
      </c>
      <c r="BG166" s="547">
        <f t="shared" si="201"/>
        <v>2.7574702676672223E-3</v>
      </c>
      <c r="BH166" s="547">
        <f t="shared" si="202"/>
        <v>6.7685030638375693E-3</v>
      </c>
      <c r="BI166">
        <f t="shared" si="203"/>
        <v>2.8999999999999998E-3</v>
      </c>
      <c r="BJ166" s="473">
        <f t="shared" si="204"/>
        <v>50.698476547481349</v>
      </c>
      <c r="BK166" s="180">
        <f t="shared" si="205"/>
        <v>1.9600000000000003E-2</v>
      </c>
      <c r="BL166" s="180">
        <f t="shared" si="206"/>
        <v>1.9600000000000003E-2</v>
      </c>
      <c r="BM166" s="547"/>
      <c r="BO166" s="473">
        <f t="shared" si="207"/>
        <v>39.200000000000003</v>
      </c>
      <c r="BP166" s="547">
        <f t="shared" si="208"/>
        <v>4.5427867250212054E-3</v>
      </c>
      <c r="BQ166" s="547">
        <f t="shared" si="209"/>
        <v>3.861075508420257E-4</v>
      </c>
      <c r="BR166" s="547">
        <f t="shared" si="210"/>
        <v>3.4610337722834378E-4</v>
      </c>
      <c r="BS166" s="547">
        <f t="shared" si="211"/>
        <v>5.3977351343344583E-3</v>
      </c>
      <c r="BT166" s="657">
        <f t="shared" si="242"/>
        <v>4.8193939393939407E-2</v>
      </c>
      <c r="BU166" s="473">
        <f t="shared" si="213"/>
        <v>58.866672181365438</v>
      </c>
      <c r="BV166" s="180">
        <f t="shared" si="214"/>
        <v>0.1487651487288468</v>
      </c>
      <c r="BW166" s="5">
        <f t="shared" si="215"/>
        <v>1.1928000000000001</v>
      </c>
      <c r="BX166" s="180">
        <f t="shared" si="216"/>
        <v>0.889110753309443</v>
      </c>
      <c r="BY166" s="5">
        <f t="shared" si="217"/>
        <v>88.9110753309443</v>
      </c>
      <c r="BZ166">
        <f t="shared" si="218"/>
        <v>56.000000000000007</v>
      </c>
      <c r="CB166" s="582">
        <f t="shared" si="243"/>
        <v>-50</v>
      </c>
      <c r="CC166">
        <f t="shared" si="244"/>
        <v>-50</v>
      </c>
    </row>
    <row r="167" spans="5:81" x14ac:dyDescent="0.25">
      <c r="E167" s="177">
        <v>57</v>
      </c>
      <c r="F167" s="224">
        <f t="shared" si="245"/>
        <v>5.6999999999999995E-2</v>
      </c>
      <c r="G167" s="224">
        <f t="shared" si="226"/>
        <v>5.6999999999999995E-2</v>
      </c>
      <c r="H167" s="224">
        <f t="shared" si="227"/>
        <v>0.35909999999999997</v>
      </c>
      <c r="I167" s="224">
        <f t="shared" si="228"/>
        <v>0.85499999999999998</v>
      </c>
      <c r="J167" s="560">
        <f t="shared" si="163"/>
        <v>10</v>
      </c>
      <c r="K167" s="455">
        <f t="shared" si="164"/>
        <v>13.1</v>
      </c>
      <c r="L167" s="455">
        <f t="shared" si="165"/>
        <v>23.1</v>
      </c>
      <c r="M167" s="455"/>
      <c r="N167" s="224">
        <f t="shared" si="166"/>
        <v>0.5670995670995671</v>
      </c>
      <c r="O167" s="179">
        <f t="shared" si="229"/>
        <v>1.0944622279129324</v>
      </c>
      <c r="P167" s="179">
        <f t="shared" si="230"/>
        <v>2.6058624474117433</v>
      </c>
      <c r="Q167" s="224">
        <f t="shared" si="169"/>
        <v>0.17372416316078293</v>
      </c>
      <c r="R167" s="224">
        <f t="shared" si="231"/>
        <v>7.2964148527528819E-2</v>
      </c>
      <c r="S167" s="224">
        <f t="shared" si="232"/>
        <v>6.3</v>
      </c>
      <c r="T167" s="224">
        <f t="shared" si="233"/>
        <v>0.47575419847328243</v>
      </c>
      <c r="U167" s="224">
        <f t="shared" si="173"/>
        <v>2.6166480916030532</v>
      </c>
      <c r="V167" s="224">
        <f t="shared" si="174"/>
        <v>1.9974412913000408</v>
      </c>
      <c r="W167" s="204">
        <f t="shared" si="175"/>
        <v>350</v>
      </c>
      <c r="X167" s="455">
        <f t="shared" si="176"/>
        <v>216.72748770437119</v>
      </c>
      <c r="Z167" s="224">
        <f t="shared" si="177"/>
        <v>0.29459717771406085</v>
      </c>
      <c r="AA167" s="180">
        <f t="shared" si="178"/>
        <v>1.2368583797155226</v>
      </c>
      <c r="AB167" s="180">
        <f t="shared" si="234"/>
        <v>3.7720509310379111E-2</v>
      </c>
      <c r="AC167" s="180"/>
      <c r="AD167" s="180">
        <f t="shared" si="180"/>
        <v>1.217557251908397</v>
      </c>
      <c r="AE167" s="564">
        <f t="shared" si="235"/>
        <v>545.7911885973715</v>
      </c>
      <c r="AF167" s="547">
        <f t="shared" si="236"/>
        <v>3.6552440597785188E-2</v>
      </c>
      <c r="AH167" s="180">
        <f t="shared" si="237"/>
        <v>0.35516230056167242</v>
      </c>
      <c r="AI167" s="180">
        <f t="shared" si="238"/>
        <v>0.47575419847328243</v>
      </c>
      <c r="AJ167" s="180">
        <f t="shared" si="239"/>
        <v>1.3375957025728018</v>
      </c>
      <c r="AL167" s="564">
        <f t="shared" si="240"/>
        <v>56.999999999999993</v>
      </c>
      <c r="AM167" s="473">
        <f t="shared" si="241"/>
        <v>216.72748770437119</v>
      </c>
      <c r="AO167">
        <f t="shared" si="188"/>
        <v>56.999999999999993</v>
      </c>
      <c r="AP167">
        <f t="shared" si="189"/>
        <v>216.72748770437119</v>
      </c>
      <c r="AR167" s="5">
        <f t="shared" si="225"/>
        <v>4.6140893829030949</v>
      </c>
      <c r="AS167" s="5">
        <f t="shared" si="222"/>
        <v>2.6166480916030532</v>
      </c>
      <c r="AT167" s="5">
        <f t="shared" si="223"/>
        <v>1.9974412913000417</v>
      </c>
      <c r="AU167" s="180">
        <f t="shared" si="224"/>
        <v>0.56709956709956699</v>
      </c>
      <c r="AW167" s="5">
        <f t="shared" si="193"/>
        <v>2.3674435114503809</v>
      </c>
      <c r="AX167" s="5">
        <f t="shared" si="194"/>
        <v>0.99432627480916003</v>
      </c>
      <c r="AY167" s="5">
        <f t="shared" si="195"/>
        <v>6.6414922935726373E-2</v>
      </c>
      <c r="AZ167" s="5"/>
      <c r="BA167" s="180">
        <f t="shared" si="196"/>
        <v>0.20684815908301074</v>
      </c>
      <c r="BB167" s="180">
        <f t="shared" si="197"/>
        <v>0.10690719971204449</v>
      </c>
      <c r="BC167" s="180">
        <f t="shared" si="198"/>
        <v>0.10932742515439367</v>
      </c>
      <c r="BD167" s="180"/>
      <c r="BE167" s="547">
        <f t="shared" si="199"/>
        <v>1.497515632061068E-2</v>
      </c>
      <c r="BF167" s="547">
        <f t="shared" si="200"/>
        <v>2.3818181818181818E-2</v>
      </c>
      <c r="BG167" s="547">
        <f t="shared" si="201"/>
        <v>2.7090935963046399E-3</v>
      </c>
      <c r="BH167" s="547">
        <f t="shared" si="202"/>
        <v>6.6497573960509456E-3</v>
      </c>
      <c r="BI167">
        <f t="shared" si="203"/>
        <v>2.8999999999999998E-3</v>
      </c>
      <c r="BJ167" s="473">
        <f t="shared" si="204"/>
        <v>51.05218913114809</v>
      </c>
      <c r="BK167" s="180">
        <f t="shared" si="205"/>
        <v>1.9949999999999996E-2</v>
      </c>
      <c r="BL167" s="180">
        <f t="shared" si="206"/>
        <v>1.9949999999999996E-2</v>
      </c>
      <c r="BM167" s="547"/>
      <c r="BO167" s="473">
        <f t="shared" si="207"/>
        <v>39.899999999999991</v>
      </c>
      <c r="BP167" s="547">
        <f t="shared" si="208"/>
        <v>4.7064777007633568E-3</v>
      </c>
      <c r="BQ167" s="547">
        <f t="shared" si="209"/>
        <v>4.0002022725948381E-4</v>
      </c>
      <c r="BR167" s="547">
        <f t="shared" si="210"/>
        <v>3.5857457672668649E-4</v>
      </c>
      <c r="BS167" s="547">
        <f t="shared" si="211"/>
        <v>5.3977351343344531E-3</v>
      </c>
      <c r="BT167" s="657">
        <f t="shared" si="242"/>
        <v>4.9054545454545455E-2</v>
      </c>
      <c r="BU167" s="473">
        <f t="shared" si="213"/>
        <v>59.917353093629437</v>
      </c>
      <c r="BV167" s="180">
        <f t="shared" si="214"/>
        <v>0.1508695422247775</v>
      </c>
      <c r="BW167" s="5">
        <f t="shared" si="215"/>
        <v>1.2141</v>
      </c>
      <c r="BX167" s="180">
        <f t="shared" si="216"/>
        <v>0.88947039654901483</v>
      </c>
      <c r="BY167" s="5">
        <f t="shared" si="217"/>
        <v>88.947039654901488</v>
      </c>
      <c r="BZ167">
        <f t="shared" si="218"/>
        <v>56.999999999999993</v>
      </c>
      <c r="CB167" s="582">
        <f t="shared" si="243"/>
        <v>-50</v>
      </c>
      <c r="CC167">
        <f t="shared" si="244"/>
        <v>-50</v>
      </c>
    </row>
    <row r="168" spans="5:81" x14ac:dyDescent="0.25">
      <c r="E168" s="177">
        <v>58</v>
      </c>
      <c r="F168" s="224">
        <f t="shared" si="245"/>
        <v>5.7999999999999996E-2</v>
      </c>
      <c r="G168" s="224">
        <f t="shared" si="226"/>
        <v>5.7999999999999996E-2</v>
      </c>
      <c r="H168" s="224">
        <f t="shared" si="227"/>
        <v>0.36539999999999995</v>
      </c>
      <c r="I168" s="224">
        <f t="shared" si="228"/>
        <v>0.86999999999999988</v>
      </c>
      <c r="J168" s="560">
        <f t="shared" si="163"/>
        <v>10</v>
      </c>
      <c r="K168" s="455">
        <f t="shared" si="164"/>
        <v>13.1</v>
      </c>
      <c r="L168" s="455">
        <f t="shared" si="165"/>
        <v>23.1</v>
      </c>
      <c r="M168" s="455"/>
      <c r="N168" s="224">
        <f t="shared" si="166"/>
        <v>0.5670995670995671</v>
      </c>
      <c r="O168" s="179">
        <f t="shared" si="229"/>
        <v>1.0944622279129324</v>
      </c>
      <c r="P168" s="179">
        <f t="shared" si="230"/>
        <v>2.6058624474117433</v>
      </c>
      <c r="Q168" s="224">
        <f t="shared" si="169"/>
        <v>0.17372416316078293</v>
      </c>
      <c r="R168" s="224">
        <f t="shared" si="231"/>
        <v>7.2964148527528819E-2</v>
      </c>
      <c r="S168" s="224">
        <f t="shared" si="232"/>
        <v>6.3</v>
      </c>
      <c r="T168" s="224">
        <f t="shared" si="233"/>
        <v>0.48410076335877855</v>
      </c>
      <c r="U168" s="224">
        <f t="shared" si="173"/>
        <v>2.6625541984732819</v>
      </c>
      <c r="V168" s="224">
        <f t="shared" si="174"/>
        <v>2.0324841209719713</v>
      </c>
      <c r="W168" s="204">
        <f t="shared" si="175"/>
        <v>350</v>
      </c>
      <c r="X168" s="455">
        <f t="shared" si="176"/>
        <v>212.99080688188207</v>
      </c>
      <c r="Z168" s="224">
        <f t="shared" si="177"/>
        <v>0.29459717771406085</v>
      </c>
      <c r="AA168" s="180">
        <f t="shared" si="178"/>
        <v>1.2368583797155226</v>
      </c>
      <c r="AB168" s="180">
        <f t="shared" si="234"/>
        <v>3.7720509310379111E-2</v>
      </c>
      <c r="AC168" s="180"/>
      <c r="AD168" s="180">
        <f t="shared" si="180"/>
        <v>1.217557251908397</v>
      </c>
      <c r="AE168" s="564">
        <f t="shared" si="235"/>
        <v>555.36647260785173</v>
      </c>
      <c r="AF168" s="547">
        <f t="shared" si="236"/>
        <v>3.6552440597785188E-2</v>
      </c>
      <c r="AH168" s="180">
        <f t="shared" si="237"/>
        <v>0.35826421360951854</v>
      </c>
      <c r="AI168" s="180">
        <f t="shared" si="238"/>
        <v>0.48410076335877855</v>
      </c>
      <c r="AJ168" s="180">
        <f t="shared" si="239"/>
        <v>1.3437783432287249</v>
      </c>
      <c r="AL168" s="564">
        <f t="shared" si="240"/>
        <v>57.999999999999993</v>
      </c>
      <c r="AM168" s="473">
        <f t="shared" si="241"/>
        <v>212.99080688188207</v>
      </c>
      <c r="AO168">
        <f t="shared" si="188"/>
        <v>57.999999999999993</v>
      </c>
      <c r="AP168">
        <f t="shared" si="189"/>
        <v>212.99080688188207</v>
      </c>
      <c r="AR168" s="5">
        <f t="shared" si="225"/>
        <v>4.6950383194452527</v>
      </c>
      <c r="AS168" s="5">
        <f t="shared" si="222"/>
        <v>2.6625541984732819</v>
      </c>
      <c r="AT168" s="5">
        <f t="shared" si="223"/>
        <v>2.0324841209719708</v>
      </c>
      <c r="AU168" s="180">
        <f t="shared" si="224"/>
        <v>0.5670995670995671</v>
      </c>
      <c r="AW168" s="5">
        <f t="shared" si="193"/>
        <v>2.4512403731976247</v>
      </c>
      <c r="AX168" s="5">
        <f t="shared" si="194"/>
        <v>1.0295209567430021</v>
      </c>
      <c r="AY168" s="5">
        <f t="shared" si="195"/>
        <v>6.876571275955165E-2</v>
      </c>
      <c r="AZ168" s="5"/>
      <c r="BA168" s="180">
        <f t="shared" si="196"/>
        <v>0.21047707415464251</v>
      </c>
      <c r="BB168" s="180">
        <f t="shared" si="197"/>
        <v>0.10878276461927332</v>
      </c>
      <c r="BC168" s="180">
        <f t="shared" si="198"/>
        <v>0.11124545015710229</v>
      </c>
      <c r="BD168" s="180"/>
      <c r="BE168" s="547">
        <f t="shared" si="199"/>
        <v>1.5505209560644608E-2</v>
      </c>
      <c r="BF168" s="547">
        <f t="shared" si="200"/>
        <v>2.3818181818181822E-2</v>
      </c>
      <c r="BG168" s="547">
        <f t="shared" si="201"/>
        <v>2.6623850860235257E-3</v>
      </c>
      <c r="BH168" s="547">
        <f t="shared" si="202"/>
        <v>6.5351064064638623E-3</v>
      </c>
      <c r="BI168">
        <f t="shared" si="203"/>
        <v>2.8999999999999998E-3</v>
      </c>
      <c r="BJ168" s="473">
        <f t="shared" si="204"/>
        <v>51.420882871313815</v>
      </c>
      <c r="BK168" s="180">
        <f t="shared" si="205"/>
        <v>2.0299999999999999E-2</v>
      </c>
      <c r="BL168" s="180">
        <f t="shared" si="206"/>
        <v>2.0299999999999999E-2</v>
      </c>
      <c r="BM168" s="547"/>
      <c r="BO168" s="473">
        <f t="shared" si="207"/>
        <v>40.599999999999994</v>
      </c>
      <c r="BP168" s="547">
        <f t="shared" si="208"/>
        <v>4.8730658619168775E-3</v>
      </c>
      <c r="BQ168" s="547">
        <f t="shared" si="209"/>
        <v>4.1417914573742786E-4</v>
      </c>
      <c r="BR168" s="547">
        <f t="shared" si="210"/>
        <v>3.7126650541968986E-4</v>
      </c>
      <c r="BS168" s="547">
        <f t="shared" si="211"/>
        <v>5.3977351343344462E-3</v>
      </c>
      <c r="BT168" s="657">
        <f t="shared" si="242"/>
        <v>4.991515151515151E-2</v>
      </c>
      <c r="BU168" s="473">
        <f t="shared" si="213"/>
        <v>60.97139816255995</v>
      </c>
      <c r="BV168" s="180">
        <f t="shared" si="214"/>
        <v>0.15299228103387374</v>
      </c>
      <c r="BW168" s="5">
        <f t="shared" si="215"/>
        <v>1.2353999999999998</v>
      </c>
      <c r="BX168" s="180">
        <f t="shared" si="216"/>
        <v>0.88980615700344634</v>
      </c>
      <c r="BY168" s="5">
        <f t="shared" si="217"/>
        <v>88.980615700344629</v>
      </c>
      <c r="BZ168">
        <f t="shared" si="218"/>
        <v>57.999999999999993</v>
      </c>
      <c r="CB168" s="582">
        <f t="shared" si="243"/>
        <v>-50</v>
      </c>
      <c r="CC168">
        <f t="shared" si="244"/>
        <v>-50</v>
      </c>
    </row>
    <row r="169" spans="5:81" x14ac:dyDescent="0.25">
      <c r="E169" s="177">
        <v>59</v>
      </c>
      <c r="F169" s="224">
        <f t="shared" si="245"/>
        <v>5.8999999999999997E-2</v>
      </c>
      <c r="G169" s="224">
        <f t="shared" si="226"/>
        <v>5.8999999999999997E-2</v>
      </c>
      <c r="H169" s="224">
        <f t="shared" si="227"/>
        <v>0.37169999999999997</v>
      </c>
      <c r="I169" s="224">
        <f t="shared" si="228"/>
        <v>0.88500000000000001</v>
      </c>
      <c r="J169" s="560">
        <f t="shared" si="163"/>
        <v>10</v>
      </c>
      <c r="K169" s="455">
        <f t="shared" si="164"/>
        <v>13.1</v>
      </c>
      <c r="L169" s="455">
        <f t="shared" si="165"/>
        <v>23.1</v>
      </c>
      <c r="M169" s="455"/>
      <c r="N169" s="224">
        <f t="shared" si="166"/>
        <v>0.5670995670995671</v>
      </c>
      <c r="O169" s="179">
        <f t="shared" si="229"/>
        <v>1.0944622279129324</v>
      </c>
      <c r="P169" s="179">
        <f t="shared" si="230"/>
        <v>2.6058624474117433</v>
      </c>
      <c r="Q169" s="224">
        <f t="shared" si="169"/>
        <v>0.17372416316078293</v>
      </c>
      <c r="R169" s="224">
        <f t="shared" si="231"/>
        <v>7.2964148527528819E-2</v>
      </c>
      <c r="S169" s="224">
        <f t="shared" si="232"/>
        <v>6.3</v>
      </c>
      <c r="T169" s="224">
        <f t="shared" si="233"/>
        <v>0.49244732824427478</v>
      </c>
      <c r="U169" s="224">
        <f t="shared" si="173"/>
        <v>2.7084603053435115</v>
      </c>
      <c r="V169" s="224">
        <f t="shared" si="174"/>
        <v>2.0675269506439018</v>
      </c>
      <c r="W169" s="204">
        <f t="shared" si="175"/>
        <v>350</v>
      </c>
      <c r="X169" s="455">
        <f t="shared" si="176"/>
        <v>209.38079320591794</v>
      </c>
      <c r="Z169" s="224">
        <f t="shared" si="177"/>
        <v>0.29459717771406085</v>
      </c>
      <c r="AA169" s="180">
        <f t="shared" si="178"/>
        <v>1.2368583797155226</v>
      </c>
      <c r="AB169" s="180">
        <f t="shared" si="234"/>
        <v>3.7720509310379111E-2</v>
      </c>
      <c r="AC169" s="180"/>
      <c r="AD169" s="180">
        <f t="shared" si="180"/>
        <v>1.217557251908397</v>
      </c>
      <c r="AE169" s="564">
        <f t="shared" si="235"/>
        <v>564.94175661833197</v>
      </c>
      <c r="AF169" s="547">
        <f t="shared" si="236"/>
        <v>3.6552440597785188E-2</v>
      </c>
      <c r="AH169" s="180">
        <f t="shared" si="237"/>
        <v>0.36133949931640985</v>
      </c>
      <c r="AI169" s="180">
        <f t="shared" si="238"/>
        <v>0.49244732824427478</v>
      </c>
      <c r="AJ169" s="180">
        <f t="shared" si="239"/>
        <v>1.349960983884648</v>
      </c>
      <c r="AL169" s="564">
        <f t="shared" si="240"/>
        <v>59</v>
      </c>
      <c r="AM169" s="473">
        <f t="shared" si="241"/>
        <v>209.38079320591794</v>
      </c>
      <c r="AO169">
        <f t="shared" si="188"/>
        <v>59</v>
      </c>
      <c r="AP169">
        <f t="shared" si="189"/>
        <v>209.38079320591794</v>
      </c>
      <c r="AR169" s="5">
        <f t="shared" si="225"/>
        <v>4.7759872559874132</v>
      </c>
      <c r="AS169" s="5">
        <f t="shared" si="222"/>
        <v>2.7084603053435115</v>
      </c>
      <c r="AT169" s="5">
        <f t="shared" si="223"/>
        <v>2.0675269506439018</v>
      </c>
      <c r="AU169" s="180">
        <f t="shared" si="224"/>
        <v>0.5670995670995671</v>
      </c>
      <c r="AW169" s="5">
        <f t="shared" si="193"/>
        <v>2.5364945716709073</v>
      </c>
      <c r="AX169" s="5">
        <f t="shared" si="194"/>
        <v>1.0653277201017812</v>
      </c>
      <c r="AY169" s="5">
        <f t="shared" si="195"/>
        <v>7.1157385884660945E-2</v>
      </c>
      <c r="AZ169" s="5"/>
      <c r="BA169" s="180">
        <f t="shared" si="196"/>
        <v>0.2141059892262743</v>
      </c>
      <c r="BB169" s="180">
        <f t="shared" si="197"/>
        <v>0.11065832952650217</v>
      </c>
      <c r="BC169" s="180">
        <f t="shared" si="198"/>
        <v>0.11316347515981097</v>
      </c>
      <c r="BD169" s="180"/>
      <c r="BE169" s="547">
        <f t="shared" si="199"/>
        <v>1.6044481117896518E-2</v>
      </c>
      <c r="BF169" s="547">
        <f t="shared" si="200"/>
        <v>2.3818181818181822E-2</v>
      </c>
      <c r="BG169" s="547">
        <f t="shared" si="201"/>
        <v>2.6172599150739743E-3</v>
      </c>
      <c r="BH169" s="547">
        <f t="shared" si="202"/>
        <v>6.4243418911000671E-3</v>
      </c>
      <c r="BI169">
        <f t="shared" si="203"/>
        <v>2.8999999999999998E-3</v>
      </c>
      <c r="BJ169" s="473">
        <f t="shared" si="204"/>
        <v>51.804264742252379</v>
      </c>
      <c r="BK169" s="180">
        <f t="shared" si="205"/>
        <v>2.0649999999999998E-2</v>
      </c>
      <c r="BL169" s="180">
        <f t="shared" si="206"/>
        <v>2.0649999999999998E-2</v>
      </c>
      <c r="BM169" s="547"/>
      <c r="BO169" s="473">
        <f t="shared" si="207"/>
        <v>41.3</v>
      </c>
      <c r="BP169" s="547">
        <f t="shared" si="208"/>
        <v>5.0425512084817633E-3</v>
      </c>
      <c r="BQ169" s="547">
        <f t="shared" si="209"/>
        <v>4.2858430627585806E-4</v>
      </c>
      <c r="BR169" s="547">
        <f t="shared" si="210"/>
        <v>3.8417916330735457E-4</v>
      </c>
      <c r="BS169" s="547">
        <f t="shared" si="211"/>
        <v>5.3977351343344601E-3</v>
      </c>
      <c r="BT169" s="657">
        <f t="shared" si="242"/>
        <v>5.0775757575757578E-2</v>
      </c>
      <c r="BU169" s="473">
        <f t="shared" si="213"/>
        <v>62.028807388157013</v>
      </c>
      <c r="BV169" s="180">
        <f t="shared" si="214"/>
        <v>0.15513307213040939</v>
      </c>
      <c r="BW169" s="5">
        <f t="shared" si="215"/>
        <v>1.2566999999999999</v>
      </c>
      <c r="BX169" s="180">
        <f t="shared" si="216"/>
        <v>0.8901193949959546</v>
      </c>
      <c r="BY169" s="5">
        <f t="shared" si="217"/>
        <v>89.011939499595456</v>
      </c>
      <c r="BZ169">
        <f t="shared" si="218"/>
        <v>59</v>
      </c>
      <c r="CB169" s="582">
        <f t="shared" si="243"/>
        <v>-50</v>
      </c>
      <c r="CC169">
        <f t="shared" si="244"/>
        <v>-50</v>
      </c>
    </row>
    <row r="170" spans="5:81" x14ac:dyDescent="0.25">
      <c r="E170" s="177">
        <v>60</v>
      </c>
      <c r="F170" s="224">
        <f t="shared" si="245"/>
        <v>0.06</v>
      </c>
      <c r="G170" s="224">
        <f t="shared" si="226"/>
        <v>0.06</v>
      </c>
      <c r="H170" s="224">
        <f t="shared" si="227"/>
        <v>0.378</v>
      </c>
      <c r="I170" s="224">
        <f t="shared" si="228"/>
        <v>0.89999999999999991</v>
      </c>
      <c r="J170" s="560">
        <f t="shared" si="163"/>
        <v>10</v>
      </c>
      <c r="K170" s="455">
        <f t="shared" si="164"/>
        <v>13.1</v>
      </c>
      <c r="L170" s="455">
        <f t="shared" si="165"/>
        <v>23.1</v>
      </c>
      <c r="M170" s="455"/>
      <c r="N170" s="224">
        <f t="shared" si="166"/>
        <v>0.5670995670995671</v>
      </c>
      <c r="O170" s="179">
        <f t="shared" si="229"/>
        <v>1.0944622279129324</v>
      </c>
      <c r="P170" s="179">
        <f t="shared" si="230"/>
        <v>2.6058624474117433</v>
      </c>
      <c r="Q170" s="224">
        <f t="shared" si="169"/>
        <v>0.17372416316078293</v>
      </c>
      <c r="R170" s="224">
        <f t="shared" si="231"/>
        <v>7.2964148527528819E-2</v>
      </c>
      <c r="S170" s="224">
        <f t="shared" si="232"/>
        <v>6.3</v>
      </c>
      <c r="T170" s="224">
        <f t="shared" si="233"/>
        <v>0.50079389312977096</v>
      </c>
      <c r="U170" s="224">
        <f t="shared" si="173"/>
        <v>2.7543664122137401</v>
      </c>
      <c r="V170" s="224">
        <f t="shared" si="174"/>
        <v>2.1025697803158323</v>
      </c>
      <c r="W170" s="204">
        <f t="shared" si="175"/>
        <v>350</v>
      </c>
      <c r="X170" s="455">
        <f t="shared" si="176"/>
        <v>205.89111331915265</v>
      </c>
      <c r="Z170" s="224">
        <f t="shared" si="177"/>
        <v>0.29459717771406085</v>
      </c>
      <c r="AA170" s="180">
        <f t="shared" si="178"/>
        <v>1.2368583797155226</v>
      </c>
      <c r="AB170" s="180">
        <f t="shared" si="234"/>
        <v>3.7720509310379111E-2</v>
      </c>
      <c r="AC170" s="180"/>
      <c r="AD170" s="180">
        <f t="shared" si="180"/>
        <v>1.217557251908397</v>
      </c>
      <c r="AE170" s="564">
        <f t="shared" si="235"/>
        <v>574.5170406288122</v>
      </c>
      <c r="AF170" s="547">
        <f t="shared" si="236"/>
        <v>3.6552440597785188E-2</v>
      </c>
      <c r="AH170" s="180">
        <f t="shared" si="237"/>
        <v>0.36438883185303689</v>
      </c>
      <c r="AI170" s="180">
        <f t="shared" si="238"/>
        <v>0.50079389312977096</v>
      </c>
      <c r="AJ170" s="180">
        <f t="shared" si="239"/>
        <v>1.3561436245405711</v>
      </c>
      <c r="AL170" s="564">
        <f t="shared" si="240"/>
        <v>60</v>
      </c>
      <c r="AM170" s="473">
        <f t="shared" si="241"/>
        <v>205.89111331915265</v>
      </c>
      <c r="AO170">
        <f t="shared" si="188"/>
        <v>60</v>
      </c>
      <c r="AP170">
        <f t="shared" si="189"/>
        <v>205.89111331915265</v>
      </c>
      <c r="AR170" s="5">
        <f t="shared" si="225"/>
        <v>4.856936192529572</v>
      </c>
      <c r="AS170" s="5">
        <f t="shared" si="222"/>
        <v>2.7543664122137401</v>
      </c>
      <c r="AT170" s="5">
        <f t="shared" si="223"/>
        <v>2.1025697803158319</v>
      </c>
      <c r="AU170" s="180">
        <f t="shared" si="224"/>
        <v>0.5670995670995671</v>
      </c>
      <c r="AW170" s="5">
        <f t="shared" ref="AW170:AW210" si="246">F170*AS170/Vout_ripple*1000</f>
        <v>2.6232061068702288</v>
      </c>
      <c r="AX170" s="5">
        <f t="shared" ref="AX170:AX210" si="247">G170*AS170/Vout_ripple2*1000</f>
        <v>1.101746564885496</v>
      </c>
      <c r="AY170" s="5">
        <f t="shared" ref="AY170:AY210" si="248">H170/Efficiency/J170*AT170/Vinripple1</f>
        <v>7.3589942311054105E-2</v>
      </c>
      <c r="AZ170" s="5"/>
      <c r="BA170" s="180">
        <f t="shared" ref="BA170:BA210" si="249">AI170*SQRT(AU170/3)</f>
        <v>0.21773490429790607</v>
      </c>
      <c r="BB170" s="180">
        <f t="shared" ref="BB170:BB210" si="250">AI170*Npri_sec1*SQRT((1-AU170)/3)*(Pout/Pout_total)</f>
        <v>0.11253389443373102</v>
      </c>
      <c r="BC170" s="180">
        <f t="shared" ref="BC170:BC210" si="251">AI170*Npri_sec2*SQRT((1-AU170)/3)*(Pout2/Pout_total)</f>
        <v>0.11508150016251964</v>
      </c>
      <c r="BD170" s="180"/>
      <c r="BE170" s="547">
        <f t="shared" ref="BE170:BE210" si="252">Rdson*BA170^2</f>
        <v>1.659297099236641E-2</v>
      </c>
      <c r="BF170" s="547">
        <f t="shared" ref="BF170:BF210" si="253">0.5*L170*AI170*AM170*1000*Trise</f>
        <v>2.3818181818181822E-2</v>
      </c>
      <c r="BG170" s="547">
        <f t="shared" ref="BG170:BG210" si="254">Qg*Vdd*AM170*1000</f>
        <v>2.5736389164894079E-3</v>
      </c>
      <c r="BH170" s="547">
        <f t="shared" ref="BH170:BH210" si="255">0.5*(Coss+Csw)*L170^2*AM170*1000</f>
        <v>6.3172695262483994E-3</v>
      </c>
      <c r="BI170">
        <f t="shared" ref="BI170:BI210" si="256">J170*IQ</f>
        <v>2.8999999999999998E-3</v>
      </c>
      <c r="BJ170" s="473">
        <f t="shared" ref="BJ170:BJ210" si="257">SUM(BE170:BI170)*1000</f>
        <v>52.20206125328604</v>
      </c>
      <c r="BK170" s="180">
        <f t="shared" ref="BK170:BK210" si="258">Vfwd2*F170</f>
        <v>2.0999999999999998E-2</v>
      </c>
      <c r="BL170" s="180">
        <f t="shared" ref="BL170:BL210" si="259">Vfwd2*G170</f>
        <v>2.0999999999999998E-2</v>
      </c>
      <c r="BM170" s="547"/>
      <c r="BO170" s="473">
        <f t="shared" ref="BO170:BO210" si="260">SUM(BK170:BN170)*1000</f>
        <v>41.999999999999993</v>
      </c>
      <c r="BP170" s="547">
        <f t="shared" ref="BP170:BP210" si="261">Rdcr_pri*BA170^2</f>
        <v>5.2149337404580149E-3</v>
      </c>
      <c r="BQ170" s="547">
        <f t="shared" ref="BQ170:BQ210" si="262">Rdcr_sec*BB170^2</f>
        <v>4.4323570887477414E-4</v>
      </c>
      <c r="BR170" s="547">
        <f t="shared" ref="BR170:BR210" si="263">Rdcr_sec2*BC170^2</f>
        <v>3.9731255038968021E-4</v>
      </c>
      <c r="BS170" s="547">
        <f t="shared" ref="BS170:BS210" si="264">AI170^2.5*AM170^2.5*k_core</f>
        <v>5.397735134334454E-3</v>
      </c>
      <c r="BT170" s="657">
        <f t="shared" si="242"/>
        <v>5.163636363636364E-2</v>
      </c>
      <c r="BU170" s="473">
        <f t="shared" ref="BU170:BU192" si="265">SUM(BP170:BT170)*1000</f>
        <v>63.089580770420568</v>
      </c>
      <c r="BV170" s="180">
        <f t="shared" ref="BV170:BV192" si="266">SUM(BE170:BI170,BK170:BN170,BP170:BT170)</f>
        <v>0.1572916420237066</v>
      </c>
      <c r="BW170" s="5">
        <f t="shared" ref="BW170:BW192" si="267">MIN(H170+I170,O170+P170)</f>
        <v>1.278</v>
      </c>
      <c r="BX170" s="180">
        <f t="shared" ref="BX170:BX192" si="268">BW170/(BW170+BV170)</f>
        <v>0.89041137186451436</v>
      </c>
      <c r="BY170" s="5">
        <f t="shared" ref="BY170:BY192" si="269">BX170*100</f>
        <v>89.041137186451436</v>
      </c>
      <c r="BZ170">
        <f t="shared" ref="BZ170:BZ192" si="270">F170/Iout*100</f>
        <v>60</v>
      </c>
      <c r="CB170" s="582">
        <f t="shared" si="243"/>
        <v>-50</v>
      </c>
      <c r="CC170">
        <f t="shared" si="244"/>
        <v>-50</v>
      </c>
    </row>
    <row r="171" spans="5:81" x14ac:dyDescent="0.25">
      <c r="E171" s="177">
        <v>61</v>
      </c>
      <c r="F171" s="224">
        <f t="shared" si="245"/>
        <v>6.0999999999999999E-2</v>
      </c>
      <c r="G171" s="224">
        <f t="shared" si="226"/>
        <v>6.0999999999999999E-2</v>
      </c>
      <c r="H171" s="224">
        <f t="shared" si="227"/>
        <v>0.38429999999999997</v>
      </c>
      <c r="I171" s="224">
        <f t="shared" si="228"/>
        <v>0.91500000000000004</v>
      </c>
      <c r="J171" s="560">
        <f t="shared" si="163"/>
        <v>10</v>
      </c>
      <c r="K171" s="455">
        <f t="shared" si="164"/>
        <v>13.1</v>
      </c>
      <c r="L171" s="455">
        <f t="shared" si="165"/>
        <v>23.1</v>
      </c>
      <c r="M171" s="455"/>
      <c r="N171" s="224">
        <f t="shared" si="166"/>
        <v>0.5670995670995671</v>
      </c>
      <c r="O171" s="179">
        <f t="shared" si="229"/>
        <v>1.0944622279129324</v>
      </c>
      <c r="P171" s="179">
        <f t="shared" si="230"/>
        <v>2.6058624474117433</v>
      </c>
      <c r="Q171" s="224">
        <f t="shared" si="169"/>
        <v>0.17372416316078293</v>
      </c>
      <c r="R171" s="224">
        <f t="shared" si="231"/>
        <v>7.2964148527528819E-2</v>
      </c>
      <c r="S171" s="224">
        <f t="shared" si="232"/>
        <v>6.3</v>
      </c>
      <c r="T171" s="224">
        <f t="shared" si="233"/>
        <v>0.50914045801526719</v>
      </c>
      <c r="U171" s="224">
        <f t="shared" si="173"/>
        <v>2.8002725190839697</v>
      </c>
      <c r="V171" s="224">
        <f t="shared" si="174"/>
        <v>2.1376126099877633</v>
      </c>
      <c r="W171" s="204">
        <f t="shared" si="175"/>
        <v>350</v>
      </c>
      <c r="X171" s="455">
        <f t="shared" si="176"/>
        <v>202.51584916637964</v>
      </c>
      <c r="Z171" s="224">
        <f t="shared" si="177"/>
        <v>0.29459717771406085</v>
      </c>
      <c r="AA171" s="180">
        <f t="shared" si="178"/>
        <v>1.2368583797155226</v>
      </c>
      <c r="AB171" s="180">
        <f t="shared" si="234"/>
        <v>3.7720509310379111E-2</v>
      </c>
      <c r="AC171" s="180"/>
      <c r="AD171" s="180">
        <f t="shared" si="180"/>
        <v>1.217557251908397</v>
      </c>
      <c r="AE171" s="564">
        <f t="shared" si="235"/>
        <v>584.09232463929231</v>
      </c>
      <c r="AF171" s="547">
        <f t="shared" si="236"/>
        <v>3.6552440597785188E-2</v>
      </c>
      <c r="AH171" s="180">
        <f t="shared" si="237"/>
        <v>0.3674128574127582</v>
      </c>
      <c r="AI171" s="180">
        <f t="shared" si="238"/>
        <v>0.50914045801526719</v>
      </c>
      <c r="AJ171" s="180">
        <f t="shared" si="239"/>
        <v>1.3623262651964942</v>
      </c>
      <c r="AL171" s="564">
        <f t="shared" si="240"/>
        <v>61</v>
      </c>
      <c r="AM171" s="473">
        <f t="shared" si="241"/>
        <v>202.51584916637964</v>
      </c>
      <c r="AO171">
        <f t="shared" si="188"/>
        <v>61</v>
      </c>
      <c r="AP171">
        <f t="shared" si="189"/>
        <v>202.51584916637964</v>
      </c>
      <c r="AR171" s="5">
        <f t="shared" si="225"/>
        <v>4.9378851290717316</v>
      </c>
      <c r="AS171" s="5">
        <f t="shared" si="222"/>
        <v>2.8002725190839697</v>
      </c>
      <c r="AT171" s="5">
        <f t="shared" si="223"/>
        <v>2.1376126099877619</v>
      </c>
      <c r="AU171" s="180">
        <f t="shared" si="224"/>
        <v>0.56709956709956721</v>
      </c>
      <c r="AW171" s="5">
        <f t="shared" si="246"/>
        <v>2.7113749787955896</v>
      </c>
      <c r="AX171" s="5">
        <f t="shared" si="247"/>
        <v>1.1387774910941477</v>
      </c>
      <c r="AY171" s="5">
        <f t="shared" si="248"/>
        <v>7.606338203873117E-2</v>
      </c>
      <c r="AZ171" s="5"/>
      <c r="BA171" s="180">
        <f t="shared" si="249"/>
        <v>0.22136381936953789</v>
      </c>
      <c r="BB171" s="180">
        <f t="shared" si="250"/>
        <v>0.11440945934095986</v>
      </c>
      <c r="BC171" s="180">
        <f t="shared" si="251"/>
        <v>0.1169995251652283</v>
      </c>
      <c r="BD171" s="180"/>
      <c r="BE171" s="547">
        <f t="shared" si="252"/>
        <v>1.7150679184054288E-2</v>
      </c>
      <c r="BF171" s="547">
        <f t="shared" si="253"/>
        <v>2.3818181818181822E-2</v>
      </c>
      <c r="BG171" s="547">
        <f t="shared" si="254"/>
        <v>2.5314481145797454E-3</v>
      </c>
      <c r="BH171" s="547">
        <f t="shared" si="255"/>
        <v>6.2137077307361302E-3</v>
      </c>
      <c r="BI171">
        <f t="shared" si="256"/>
        <v>2.8999999999999998E-3</v>
      </c>
      <c r="BJ171" s="473">
        <f t="shared" si="257"/>
        <v>52.614016847551987</v>
      </c>
      <c r="BK171" s="180">
        <f t="shared" si="258"/>
        <v>2.1349999999999997E-2</v>
      </c>
      <c r="BL171" s="180">
        <f t="shared" si="259"/>
        <v>2.1349999999999997E-2</v>
      </c>
      <c r="BM171" s="547"/>
      <c r="BO171" s="473">
        <f t="shared" si="260"/>
        <v>42.699999999999996</v>
      </c>
      <c r="BP171" s="547">
        <f t="shared" si="261"/>
        <v>5.3902134578456334E-3</v>
      </c>
      <c r="BQ171" s="547">
        <f t="shared" si="262"/>
        <v>4.5813335353417627E-4</v>
      </c>
      <c r="BR171" s="547">
        <f t="shared" si="263"/>
        <v>4.1066666666666666E-4</v>
      </c>
      <c r="BS171" s="547">
        <f t="shared" si="264"/>
        <v>5.3977351343344445E-3</v>
      </c>
      <c r="BT171" s="657">
        <f t="shared" si="242"/>
        <v>5.2496969696969709E-2</v>
      </c>
      <c r="BU171" s="473">
        <f t="shared" si="265"/>
        <v>64.153718309350623</v>
      </c>
      <c r="BV171" s="180">
        <f t="shared" si="266"/>
        <v>0.1594677351569026</v>
      </c>
      <c r="BW171" s="5">
        <f t="shared" si="267"/>
        <v>1.2993000000000001</v>
      </c>
      <c r="BX171" s="180">
        <f t="shared" si="268"/>
        <v>0.89068325867534315</v>
      </c>
      <c r="BY171" s="5">
        <f t="shared" si="269"/>
        <v>89.068325867534313</v>
      </c>
      <c r="BZ171">
        <f t="shared" si="270"/>
        <v>61</v>
      </c>
      <c r="CB171" s="582">
        <f t="shared" si="243"/>
        <v>-50</v>
      </c>
      <c r="CC171">
        <f t="shared" si="244"/>
        <v>-50</v>
      </c>
    </row>
    <row r="172" spans="5:81" x14ac:dyDescent="0.25">
      <c r="E172" s="177">
        <v>62</v>
      </c>
      <c r="F172" s="224">
        <f t="shared" si="245"/>
        <v>6.2E-2</v>
      </c>
      <c r="G172" s="224">
        <f t="shared" si="226"/>
        <v>6.2E-2</v>
      </c>
      <c r="H172" s="224">
        <f t="shared" si="227"/>
        <v>0.3906</v>
      </c>
      <c r="I172" s="224">
        <f t="shared" si="228"/>
        <v>0.92999999999999994</v>
      </c>
      <c r="J172" s="560">
        <f t="shared" si="163"/>
        <v>10</v>
      </c>
      <c r="K172" s="455">
        <f t="shared" si="164"/>
        <v>13.1</v>
      </c>
      <c r="L172" s="455">
        <f t="shared" si="165"/>
        <v>23.1</v>
      </c>
      <c r="M172" s="455"/>
      <c r="N172" s="224">
        <f t="shared" si="166"/>
        <v>0.5670995670995671</v>
      </c>
      <c r="O172" s="179">
        <f t="shared" si="229"/>
        <v>1.0944622279129324</v>
      </c>
      <c r="P172" s="179">
        <f t="shared" si="230"/>
        <v>2.6058624474117433</v>
      </c>
      <c r="Q172" s="224">
        <f t="shared" si="169"/>
        <v>0.17372416316078293</v>
      </c>
      <c r="R172" s="224">
        <f t="shared" si="231"/>
        <v>7.2964148527528819E-2</v>
      </c>
      <c r="S172" s="224">
        <f t="shared" si="232"/>
        <v>6.3</v>
      </c>
      <c r="T172" s="224">
        <f t="shared" si="233"/>
        <v>0.51748702290076332</v>
      </c>
      <c r="U172" s="224">
        <f t="shared" si="173"/>
        <v>2.8461786259541979</v>
      </c>
      <c r="V172" s="224">
        <f t="shared" si="174"/>
        <v>2.1726554396596933</v>
      </c>
      <c r="W172" s="204">
        <f t="shared" si="175"/>
        <v>350</v>
      </c>
      <c r="X172" s="455">
        <f t="shared" si="176"/>
        <v>199.2494645024058</v>
      </c>
      <c r="Z172" s="224">
        <f t="shared" si="177"/>
        <v>0.29459717771406085</v>
      </c>
      <c r="AA172" s="180">
        <f t="shared" si="178"/>
        <v>1.2368583797155226</v>
      </c>
      <c r="AB172" s="180">
        <f t="shared" si="234"/>
        <v>3.7720509310379111E-2</v>
      </c>
      <c r="AC172" s="180"/>
      <c r="AD172" s="180">
        <f t="shared" si="180"/>
        <v>1.217557251908397</v>
      </c>
      <c r="AE172" s="564">
        <f t="shared" si="235"/>
        <v>593.66760864977266</v>
      </c>
      <c r="AF172" s="547">
        <f t="shared" si="236"/>
        <v>3.6552440597785188E-2</v>
      </c>
      <c r="AH172" s="180">
        <f t="shared" si="237"/>
        <v>0.37041219581055213</v>
      </c>
      <c r="AI172" s="180">
        <f t="shared" si="238"/>
        <v>0.51748702290076332</v>
      </c>
      <c r="AJ172" s="180">
        <f t="shared" si="239"/>
        <v>1.3685089058524174</v>
      </c>
      <c r="AL172" s="564">
        <f t="shared" si="240"/>
        <v>62</v>
      </c>
      <c r="AM172" s="473">
        <f t="shared" si="241"/>
        <v>199.2494645024058</v>
      </c>
      <c r="AO172">
        <f t="shared" si="188"/>
        <v>62</v>
      </c>
      <c r="AP172">
        <f t="shared" si="189"/>
        <v>199.2494645024058</v>
      </c>
      <c r="AR172" s="5">
        <f t="shared" si="225"/>
        <v>5.0188340656138912</v>
      </c>
      <c r="AS172" s="5">
        <f t="shared" si="222"/>
        <v>2.8461786259541979</v>
      </c>
      <c r="AT172" s="5">
        <f t="shared" si="223"/>
        <v>2.1726554396596933</v>
      </c>
      <c r="AU172" s="180">
        <f t="shared" si="224"/>
        <v>0.5670995670995671</v>
      </c>
      <c r="AW172" s="5">
        <f t="shared" si="246"/>
        <v>2.8010011874469884</v>
      </c>
      <c r="AX172" s="5">
        <f t="shared" si="247"/>
        <v>1.1764204987277351</v>
      </c>
      <c r="AY172" s="5">
        <f t="shared" si="248"/>
        <v>7.8577705067692225E-2</v>
      </c>
      <c r="AZ172" s="5"/>
      <c r="BA172" s="180">
        <f t="shared" si="249"/>
        <v>0.2249927344411696</v>
      </c>
      <c r="BB172" s="180">
        <f t="shared" si="250"/>
        <v>0.11628502424818872</v>
      </c>
      <c r="BC172" s="180">
        <f t="shared" si="251"/>
        <v>0.11891755016793695</v>
      </c>
      <c r="BD172" s="180"/>
      <c r="BE172" s="547">
        <f t="shared" si="252"/>
        <v>1.7717605692960131E-2</v>
      </c>
      <c r="BF172" s="547">
        <f t="shared" si="253"/>
        <v>2.3818181818181822E-2</v>
      </c>
      <c r="BG172" s="547">
        <f t="shared" si="254"/>
        <v>2.4906183062800725E-3</v>
      </c>
      <c r="BH172" s="547">
        <f t="shared" si="255"/>
        <v>6.1134866383049033E-3</v>
      </c>
      <c r="BI172">
        <f t="shared" si="256"/>
        <v>2.8999999999999998E-3</v>
      </c>
      <c r="BJ172" s="473">
        <f t="shared" si="257"/>
        <v>53.039892455726928</v>
      </c>
      <c r="BK172" s="180">
        <f t="shared" si="258"/>
        <v>2.1699999999999997E-2</v>
      </c>
      <c r="BL172" s="180">
        <f t="shared" si="259"/>
        <v>2.1699999999999997E-2</v>
      </c>
      <c r="BM172" s="547"/>
      <c r="BO172" s="473">
        <f t="shared" si="260"/>
        <v>43.399999999999991</v>
      </c>
      <c r="BP172" s="547">
        <f t="shared" si="261"/>
        <v>5.5683903606446135E-3</v>
      </c>
      <c r="BQ172" s="547">
        <f t="shared" si="262"/>
        <v>4.7327724025406439E-4</v>
      </c>
      <c r="BR172" s="547">
        <f t="shared" si="263"/>
        <v>4.2424151213831402E-4</v>
      </c>
      <c r="BS172" s="547">
        <f t="shared" si="264"/>
        <v>5.3977351343344566E-3</v>
      </c>
      <c r="BT172" s="657">
        <f t="shared" si="242"/>
        <v>5.3357575757575763E-2</v>
      </c>
      <c r="BU172" s="473">
        <f t="shared" si="265"/>
        <v>65.221220004947199</v>
      </c>
      <c r="BV172" s="180">
        <f t="shared" si="266"/>
        <v>0.16166111246067413</v>
      </c>
      <c r="BW172" s="5">
        <f t="shared" si="267"/>
        <v>1.3206</v>
      </c>
      <c r="BX172" s="180">
        <f t="shared" si="268"/>
        <v>0.8909361440425948</v>
      </c>
      <c r="BY172" s="5">
        <f t="shared" si="269"/>
        <v>89.093614404259483</v>
      </c>
      <c r="BZ172">
        <f t="shared" si="270"/>
        <v>62</v>
      </c>
      <c r="CB172" s="582">
        <f t="shared" si="243"/>
        <v>-50</v>
      </c>
      <c r="CC172">
        <f t="shared" si="244"/>
        <v>-50</v>
      </c>
    </row>
    <row r="173" spans="5:81" x14ac:dyDescent="0.25">
      <c r="E173" s="177">
        <v>63</v>
      </c>
      <c r="F173" s="224">
        <f t="shared" si="245"/>
        <v>6.3E-2</v>
      </c>
      <c r="G173" s="224">
        <f t="shared" si="226"/>
        <v>6.3E-2</v>
      </c>
      <c r="H173" s="224">
        <f t="shared" si="227"/>
        <v>0.39689999999999998</v>
      </c>
      <c r="I173" s="224">
        <f t="shared" si="228"/>
        <v>0.94500000000000006</v>
      </c>
      <c r="J173" s="560">
        <f t="shared" si="163"/>
        <v>10</v>
      </c>
      <c r="K173" s="455">
        <f t="shared" si="164"/>
        <v>13.1</v>
      </c>
      <c r="L173" s="455">
        <f t="shared" si="165"/>
        <v>23.1</v>
      </c>
      <c r="M173" s="455"/>
      <c r="N173" s="224">
        <f t="shared" si="166"/>
        <v>0.5670995670995671</v>
      </c>
      <c r="O173" s="179">
        <f t="shared" si="229"/>
        <v>1.0944622279129324</v>
      </c>
      <c r="P173" s="179">
        <f t="shared" si="230"/>
        <v>2.6058624474117433</v>
      </c>
      <c r="Q173" s="224">
        <f t="shared" si="169"/>
        <v>0.17372416316078293</v>
      </c>
      <c r="R173" s="224">
        <f t="shared" si="231"/>
        <v>7.2964148527528819E-2</v>
      </c>
      <c r="S173" s="224">
        <f t="shared" si="232"/>
        <v>6.3</v>
      </c>
      <c r="T173" s="224">
        <f t="shared" si="233"/>
        <v>0.52583358778625955</v>
      </c>
      <c r="U173" s="224">
        <f t="shared" si="173"/>
        <v>2.8920847328244275</v>
      </c>
      <c r="V173" s="224">
        <f t="shared" si="174"/>
        <v>2.2076982693316238</v>
      </c>
      <c r="W173" s="204">
        <f t="shared" si="175"/>
        <v>350</v>
      </c>
      <c r="X173" s="455">
        <f t="shared" si="176"/>
        <v>196.08677458966918</v>
      </c>
      <c r="Z173" s="224">
        <f t="shared" si="177"/>
        <v>0.29459717771406085</v>
      </c>
      <c r="AA173" s="180">
        <f t="shared" si="178"/>
        <v>1.2368583797155226</v>
      </c>
      <c r="AB173" s="180">
        <f t="shared" si="234"/>
        <v>3.7720509310379111E-2</v>
      </c>
      <c r="AC173" s="180"/>
      <c r="AD173" s="180">
        <f t="shared" si="180"/>
        <v>1.217557251908397</v>
      </c>
      <c r="AE173" s="564">
        <f t="shared" si="235"/>
        <v>603.24289266025289</v>
      </c>
      <c r="AF173" s="547">
        <f t="shared" si="236"/>
        <v>3.6552440597785188E-2</v>
      </c>
      <c r="AH173" s="180">
        <f t="shared" si="237"/>
        <v>0.37338744196635998</v>
      </c>
      <c r="AI173" s="180">
        <f t="shared" si="238"/>
        <v>0.52583358778625955</v>
      </c>
      <c r="AJ173" s="180">
        <f t="shared" si="239"/>
        <v>1.3746915465083402</v>
      </c>
      <c r="AL173" s="564">
        <f t="shared" si="240"/>
        <v>63</v>
      </c>
      <c r="AM173" s="473">
        <f t="shared" si="241"/>
        <v>196.08677458966918</v>
      </c>
      <c r="AO173">
        <f t="shared" si="188"/>
        <v>63</v>
      </c>
      <c r="AP173">
        <f t="shared" si="189"/>
        <v>196.08677458966918</v>
      </c>
      <c r="AR173" s="5">
        <f t="shared" si="225"/>
        <v>5.0997830021560517</v>
      </c>
      <c r="AS173" s="5">
        <f t="shared" si="222"/>
        <v>2.8920847328244275</v>
      </c>
      <c r="AT173" s="5">
        <f t="shared" si="223"/>
        <v>2.2076982693316243</v>
      </c>
      <c r="AU173" s="180">
        <f t="shared" si="224"/>
        <v>0.5670995670995671</v>
      </c>
      <c r="AW173" s="5">
        <f t="shared" si="246"/>
        <v>2.8920847328244275</v>
      </c>
      <c r="AX173" s="5">
        <f t="shared" si="247"/>
        <v>1.2146755877862594</v>
      </c>
      <c r="AY173" s="5">
        <f t="shared" si="248"/>
        <v>8.1132911397937157E-2</v>
      </c>
      <c r="AZ173" s="5"/>
      <c r="BA173" s="180">
        <f t="shared" si="249"/>
        <v>0.22862164951280139</v>
      </c>
      <c r="BB173" s="180">
        <f t="shared" si="250"/>
        <v>0.11816058915541759</v>
      </c>
      <c r="BC173" s="180">
        <f t="shared" si="251"/>
        <v>0.12083557517064561</v>
      </c>
      <c r="BD173" s="180"/>
      <c r="BE173" s="547">
        <f t="shared" si="252"/>
        <v>1.8293750519083971E-2</v>
      </c>
      <c r="BF173" s="547">
        <f t="shared" si="253"/>
        <v>2.3818181818181822E-2</v>
      </c>
      <c r="BG173" s="547">
        <f t="shared" si="254"/>
        <v>2.4510846823708647E-3</v>
      </c>
      <c r="BH173" s="547">
        <f t="shared" si="255"/>
        <v>6.0164471678556186E-3</v>
      </c>
      <c r="BI173">
        <f t="shared" si="256"/>
        <v>2.8999999999999998E-3</v>
      </c>
      <c r="BJ173" s="473">
        <f t="shared" si="257"/>
        <v>53.479464187492276</v>
      </c>
      <c r="BK173" s="180">
        <f t="shared" si="258"/>
        <v>2.205E-2</v>
      </c>
      <c r="BL173" s="180">
        <f t="shared" si="259"/>
        <v>2.205E-2</v>
      </c>
      <c r="BM173" s="547"/>
      <c r="BO173" s="473">
        <f t="shared" si="260"/>
        <v>44.1</v>
      </c>
      <c r="BP173" s="547">
        <f t="shared" si="261"/>
        <v>5.7494644488549629E-3</v>
      </c>
      <c r="BQ173" s="547">
        <f t="shared" si="262"/>
        <v>4.8866736903443867E-4</v>
      </c>
      <c r="BR173" s="547">
        <f t="shared" si="263"/>
        <v>4.3803708680462236E-4</v>
      </c>
      <c r="BS173" s="547">
        <f t="shared" si="264"/>
        <v>5.3977351343344505E-3</v>
      </c>
      <c r="BT173" s="657">
        <f t="shared" si="242"/>
        <v>5.4218181818181832E-2</v>
      </c>
      <c r="BU173" s="473">
        <f t="shared" si="265"/>
        <v>66.29208585721031</v>
      </c>
      <c r="BV173" s="180">
        <f t="shared" si="266"/>
        <v>0.16387155004470258</v>
      </c>
      <c r="BW173" s="5">
        <f t="shared" si="267"/>
        <v>1.3419000000000001</v>
      </c>
      <c r="BX173" s="180">
        <f t="shared" si="268"/>
        <v>0.89117104115837653</v>
      </c>
      <c r="BY173" s="5">
        <f t="shared" si="269"/>
        <v>89.117104115837648</v>
      </c>
      <c r="BZ173">
        <f t="shared" si="270"/>
        <v>63</v>
      </c>
      <c r="CB173" s="582">
        <f t="shared" si="243"/>
        <v>-50</v>
      </c>
      <c r="CC173">
        <f t="shared" si="244"/>
        <v>-50</v>
      </c>
    </row>
    <row r="174" spans="5:81" x14ac:dyDescent="0.25">
      <c r="E174" s="177">
        <v>64</v>
      </c>
      <c r="F174" s="224">
        <f t="shared" si="245"/>
        <v>6.4000000000000001E-2</v>
      </c>
      <c r="G174" s="224">
        <f t="shared" ref="G174:G210" si="271">IF(PLOT_TYPE=1, E174/100*Iout2, min_I*EXP(Q174*rr/100))</f>
        <v>6.4000000000000001E-2</v>
      </c>
      <c r="H174" s="224">
        <f t="shared" ref="H174:H210" si="272">F174*Vout</f>
        <v>0.4032</v>
      </c>
      <c r="I174" s="224">
        <f t="shared" ref="I174:I210" si="273">Vout2*G174</f>
        <v>0.96</v>
      </c>
      <c r="J174" s="560">
        <f t="shared" ref="J174:J210" si="274">VIN_min</f>
        <v>10</v>
      </c>
      <c r="K174" s="455">
        <f t="shared" ref="K174:K210" si="275">(S174+Vfwd1)*Nps</f>
        <v>13.1</v>
      </c>
      <c r="L174" s="455">
        <f t="shared" ref="L174:L210" si="276">(Vout+Vfwd1)*Nps+J174</f>
        <v>23.1</v>
      </c>
      <c r="M174" s="455"/>
      <c r="N174" s="224">
        <f t="shared" ref="N174:N210" si="277">(Vout+Vfwd1)*Nps/((Vout+Vfwd1)*Nps+J174)</f>
        <v>0.5670995670995671</v>
      </c>
      <c r="O174" s="179">
        <f t="shared" ref="O174:O205" si="278">N174*J174*Isw_max*0.5*Efficiency*Pout/(Pout+Pout2)</f>
        <v>1.0944622279129324</v>
      </c>
      <c r="P174" s="179">
        <f t="shared" ref="P174:P210" si="279">N174*J174*Isw_max*0.5*Efficiency*(Pout2/Pout_total)</f>
        <v>2.6058624474117433</v>
      </c>
      <c r="Q174" s="224">
        <f t="shared" ref="Q174:Q210" si="280">O174/Vout</f>
        <v>0.17372416316078293</v>
      </c>
      <c r="R174" s="224">
        <f t="shared" ref="R174:R210" si="281">O174/Vout2</f>
        <v>7.2964148527528819E-2</v>
      </c>
      <c r="S174" s="224">
        <f t="shared" ref="S174:S210" si="282">MIN(Vout,O174/F174)</f>
        <v>6.3</v>
      </c>
      <c r="T174" s="224">
        <f t="shared" ref="T174:T210" si="283">MIN(2*(Vout*F174+Vout2*G174)/(Efficiency*J174*N174), Isw_max)</f>
        <v>0.53418015267175567</v>
      </c>
      <c r="U174" s="224">
        <f t="shared" ref="U174:U210" si="284">L*T174/J174*1000000</f>
        <v>2.9379908396946566</v>
      </c>
      <c r="V174" s="224">
        <f t="shared" ref="V174:V210" si="285">L*T174/K174*1000000</f>
        <v>2.2427410990035543</v>
      </c>
      <c r="W174" s="204">
        <f t="shared" ref="W174:W210" si="286">IF(1/((350000*L)*(1/J174+1/K174))&gt;Isw_min, 350, 0.001/((Isw_min*L)*(1/J174+1/K174)))</f>
        <v>350</v>
      </c>
      <c r="X174" s="455">
        <f t="shared" ref="X174:X210" si="287">MIN(1/(U174+V174)*1000, 350)</f>
        <v>193.02291873670561</v>
      </c>
      <c r="Z174" s="224">
        <f t="shared" ref="Z174:Z210" si="288">1/((W174*1000*L)*(1/J174+1/K174))</f>
        <v>0.29459717771406085</v>
      </c>
      <c r="AA174" s="180">
        <f t="shared" ref="AA174:AA210" si="289">L*Z174/K174*1000000</f>
        <v>1.2368583797155226</v>
      </c>
      <c r="AB174" s="180">
        <f t="shared" ref="AB174:AB205" si="290">0.5*AA174*Z174*Nps*W174/1000*(Pout/(Pout+Pout2))</f>
        <v>3.7720509310379111E-2</v>
      </c>
      <c r="AC174" s="180"/>
      <c r="AD174" s="180">
        <f t="shared" ref="AD174:AD210" si="291">L*Isw_min/K174*1000000</f>
        <v>1.217557251908397</v>
      </c>
      <c r="AE174" s="564">
        <f t="shared" ref="AE174:AE205" si="292">MAX(10, F174/(0.5*AD174/1000000*Isw_min*Nps)/1000*Pout_total/Pout)</f>
        <v>612.81817667073301</v>
      </c>
      <c r="AF174" s="547">
        <f t="shared" ref="AF174:AF210" si="293">0.5*AD174/1000000*Isw_min*Nps*W174*1000*(Pout/Pout_total)</f>
        <v>3.6552440597785188E-2</v>
      </c>
      <c r="AH174" s="180">
        <f t="shared" ref="AH174:AH210" si="294">SQRT((H174+I174)/(0.5*L*Fsw_DCM))</f>
        <v>0.37633916728287642</v>
      </c>
      <c r="AI174" s="180">
        <f t="shared" ref="AI174:AI205" si="295">MAX(IF(F174&gt;AB174,T174,AH174),Isw_min)</f>
        <v>0.53418015267175567</v>
      </c>
      <c r="AJ174" s="180">
        <f t="shared" ref="AJ174:AJ205" si="296">IF(F174&gt;AF174, (AI174-Isw_min)/1.08*0.8+1.2, AE174*0.2/350+1)</f>
        <v>1.3808741871642634</v>
      </c>
      <c r="AL174" s="564">
        <f t="shared" ref="AL174:AL210" si="297">F174*1000</f>
        <v>64</v>
      </c>
      <c r="AM174" s="473">
        <f t="shared" ref="AM174:AM210" si="298">IF(F174&gt;AF174, X174, AE174)</f>
        <v>193.02291873670561</v>
      </c>
      <c r="AO174">
        <f t="shared" ref="AO174:AO210" si="299">IF(H174&gt;O174, "",AL174)</f>
        <v>64</v>
      </c>
      <c r="AP174">
        <f t="shared" ref="AP174:AP210" si="300">IF(H174&gt;O174, "",AM174)</f>
        <v>193.02291873670561</v>
      </c>
      <c r="AR174" s="5">
        <f t="shared" si="225"/>
        <v>5.1807319386982105</v>
      </c>
      <c r="AS174" s="5">
        <f t="shared" si="222"/>
        <v>2.9379908396946566</v>
      </c>
      <c r="AT174" s="5">
        <f t="shared" si="223"/>
        <v>2.2427410990035539</v>
      </c>
      <c r="AU174" s="180">
        <f t="shared" si="224"/>
        <v>0.56709956709956721</v>
      </c>
      <c r="AW174" s="5">
        <f t="shared" si="246"/>
        <v>2.9846256149279053</v>
      </c>
      <c r="AX174" s="5">
        <f t="shared" si="247"/>
        <v>1.2535427582697203</v>
      </c>
      <c r="AY174" s="5">
        <f t="shared" si="248"/>
        <v>8.3729001029465996E-2</v>
      </c>
      <c r="AZ174" s="5"/>
      <c r="BA174" s="180">
        <f t="shared" si="249"/>
        <v>0.23225056458443316</v>
      </c>
      <c r="BB174" s="180">
        <f t="shared" si="250"/>
        <v>0.12003615406264639</v>
      </c>
      <c r="BC174" s="180">
        <f t="shared" si="251"/>
        <v>0.12275360017335425</v>
      </c>
      <c r="BD174" s="180"/>
      <c r="BE174" s="547">
        <f t="shared" si="252"/>
        <v>1.8879113662425784E-2</v>
      </c>
      <c r="BF174" s="547">
        <f t="shared" si="253"/>
        <v>2.3818181818181822E-2</v>
      </c>
      <c r="BG174" s="547">
        <f t="shared" si="254"/>
        <v>2.4127864842088198E-3</v>
      </c>
      <c r="BH174" s="547">
        <f t="shared" si="255"/>
        <v>5.9224401808578749E-3</v>
      </c>
      <c r="BI174">
        <f t="shared" si="256"/>
        <v>2.8999999999999998E-3</v>
      </c>
      <c r="BJ174" s="473">
        <f t="shared" si="257"/>
        <v>53.932522145674305</v>
      </c>
      <c r="BK174" s="180">
        <f t="shared" si="258"/>
        <v>2.24E-2</v>
      </c>
      <c r="BL174" s="180">
        <f t="shared" si="259"/>
        <v>2.24E-2</v>
      </c>
      <c r="BM174" s="547"/>
      <c r="BO174" s="473">
        <f t="shared" si="260"/>
        <v>44.8</v>
      </c>
      <c r="BP174" s="547">
        <f t="shared" si="261"/>
        <v>5.9334357224766756E-3</v>
      </c>
      <c r="BQ174" s="547">
        <f t="shared" si="262"/>
        <v>5.0430373987529829E-4</v>
      </c>
      <c r="BR174" s="547">
        <f t="shared" si="263"/>
        <v>4.5205339066559151E-4</v>
      </c>
      <c r="BS174" s="547">
        <f t="shared" si="264"/>
        <v>5.397735134334454E-3</v>
      </c>
      <c r="BT174" s="657">
        <f t="shared" ref="BT174:BT210" si="301">0.5*Lleak*0.000000001*AI174^2*AM174*1000</f>
        <v>5.507878787878788E-2</v>
      </c>
      <c r="BU174" s="473">
        <f t="shared" si="265"/>
        <v>67.366315866139885</v>
      </c>
      <c r="BV174" s="180">
        <f t="shared" si="266"/>
        <v>0.16609883801181419</v>
      </c>
      <c r="BW174" s="5">
        <f t="shared" si="267"/>
        <v>1.3632</v>
      </c>
      <c r="BX174" s="180">
        <f t="shared" si="268"/>
        <v>0.89138889412369315</v>
      </c>
      <c r="BY174" s="5">
        <f t="shared" si="269"/>
        <v>89.138889412369309</v>
      </c>
      <c r="BZ174">
        <f t="shared" si="270"/>
        <v>64</v>
      </c>
      <c r="CB174" s="582">
        <f t="shared" ref="CB174:CB210" si="302">IF(ABS(F174-Ioutmax_Vinmin)&lt;Iout/200, AM174, -50)</f>
        <v>-50</v>
      </c>
      <c r="CC174">
        <f t="shared" ref="CC174:CC210" si="303">IF(ABS(F174-Ioutmax_Vinmin)&lt;Iout/200, (O174+P174)*BX174, -50)</f>
        <v>-50</v>
      </c>
    </row>
    <row r="175" spans="5:81" x14ac:dyDescent="0.25">
      <c r="E175" s="177">
        <v>65</v>
      </c>
      <c r="F175" s="224">
        <f t="shared" ref="F175:F206" si="304">IF(PLOT_TYPE=1, E175/100*Iout_max, min_I*EXP(O175*rr/100))</f>
        <v>6.5000000000000002E-2</v>
      </c>
      <c r="G175" s="224">
        <f t="shared" si="271"/>
        <v>6.5000000000000002E-2</v>
      </c>
      <c r="H175" s="224">
        <f t="shared" si="272"/>
        <v>0.40949999999999998</v>
      </c>
      <c r="I175" s="224">
        <f t="shared" si="273"/>
        <v>0.97500000000000009</v>
      </c>
      <c r="J175" s="560">
        <f t="shared" si="274"/>
        <v>10</v>
      </c>
      <c r="K175" s="455">
        <f t="shared" si="275"/>
        <v>13.1</v>
      </c>
      <c r="L175" s="455">
        <f t="shared" si="276"/>
        <v>23.1</v>
      </c>
      <c r="M175" s="455"/>
      <c r="N175" s="224">
        <f t="shared" si="277"/>
        <v>0.5670995670995671</v>
      </c>
      <c r="O175" s="179">
        <f t="shared" si="278"/>
        <v>1.0944622279129324</v>
      </c>
      <c r="P175" s="179">
        <f t="shared" si="279"/>
        <v>2.6058624474117433</v>
      </c>
      <c r="Q175" s="224">
        <f t="shared" si="280"/>
        <v>0.17372416316078293</v>
      </c>
      <c r="R175" s="224">
        <f t="shared" si="281"/>
        <v>7.2964148527528819E-2</v>
      </c>
      <c r="S175" s="224">
        <f t="shared" si="282"/>
        <v>6.3</v>
      </c>
      <c r="T175" s="224">
        <f t="shared" si="283"/>
        <v>0.5425267175572519</v>
      </c>
      <c r="U175" s="224">
        <f t="shared" si="284"/>
        <v>2.9838969465648857</v>
      </c>
      <c r="V175" s="224">
        <f t="shared" si="285"/>
        <v>2.2777839286754853</v>
      </c>
      <c r="W175" s="204">
        <f t="shared" si="286"/>
        <v>350</v>
      </c>
      <c r="X175" s="455">
        <f t="shared" si="287"/>
        <v>190.05333537152549</v>
      </c>
      <c r="Z175" s="224">
        <f t="shared" si="288"/>
        <v>0.29459717771406085</v>
      </c>
      <c r="AA175" s="180">
        <f t="shared" si="289"/>
        <v>1.2368583797155226</v>
      </c>
      <c r="AB175" s="180">
        <f t="shared" si="290"/>
        <v>3.7720509310379111E-2</v>
      </c>
      <c r="AC175" s="180"/>
      <c r="AD175" s="180">
        <f t="shared" si="291"/>
        <v>1.217557251908397</v>
      </c>
      <c r="AE175" s="564">
        <f t="shared" si="292"/>
        <v>622.39346068121324</v>
      </c>
      <c r="AF175" s="547">
        <f t="shared" si="293"/>
        <v>3.6552440597785188E-2</v>
      </c>
      <c r="AH175" s="180">
        <f t="shared" si="294"/>
        <v>0.37926792092682432</v>
      </c>
      <c r="AI175" s="180">
        <f t="shared" si="295"/>
        <v>0.5425267175572519</v>
      </c>
      <c r="AJ175" s="180">
        <f t="shared" si="296"/>
        <v>1.3870568278201865</v>
      </c>
      <c r="AL175" s="564">
        <f t="shared" si="297"/>
        <v>65</v>
      </c>
      <c r="AM175" s="473">
        <f t="shared" si="298"/>
        <v>190.05333537152549</v>
      </c>
      <c r="AO175">
        <f t="shared" si="299"/>
        <v>65</v>
      </c>
      <c r="AP175">
        <f t="shared" si="300"/>
        <v>190.05333537152549</v>
      </c>
      <c r="AR175" s="5">
        <f t="shared" si="225"/>
        <v>5.261680875240371</v>
      </c>
      <c r="AS175" s="5">
        <f t="shared" si="222"/>
        <v>2.9838969465648857</v>
      </c>
      <c r="AT175" s="5">
        <f t="shared" si="223"/>
        <v>2.2777839286754853</v>
      </c>
      <c r="AU175" s="180">
        <f t="shared" si="224"/>
        <v>0.5670995670995671</v>
      </c>
      <c r="AW175" s="5">
        <f t="shared" si="246"/>
        <v>3.0786238337574221</v>
      </c>
      <c r="AX175" s="5">
        <f t="shared" si="247"/>
        <v>1.2930220101781174</v>
      </c>
      <c r="AY175" s="5">
        <f t="shared" si="248"/>
        <v>8.6365973962278811E-2</v>
      </c>
      <c r="AZ175" s="5"/>
      <c r="BA175" s="180">
        <f t="shared" si="249"/>
        <v>0.23587947965606493</v>
      </c>
      <c r="BB175" s="180">
        <f t="shared" si="250"/>
        <v>0.12191171896987528</v>
      </c>
      <c r="BC175" s="180">
        <f t="shared" si="251"/>
        <v>0.12467162517606294</v>
      </c>
      <c r="BD175" s="180"/>
      <c r="BE175" s="547">
        <f t="shared" si="252"/>
        <v>1.9473695122985579E-2</v>
      </c>
      <c r="BF175" s="547">
        <f t="shared" si="253"/>
        <v>2.3818181818181818E-2</v>
      </c>
      <c r="BG175" s="547">
        <f t="shared" si="254"/>
        <v>2.3756666921440689E-3</v>
      </c>
      <c r="BH175" s="547">
        <f t="shared" si="255"/>
        <v>5.8313257165369834E-3</v>
      </c>
      <c r="BI175">
        <f t="shared" si="256"/>
        <v>2.8999999999999998E-3</v>
      </c>
      <c r="BJ175" s="473">
        <f t="shared" si="257"/>
        <v>54.398869349848454</v>
      </c>
      <c r="BK175" s="180">
        <f t="shared" si="258"/>
        <v>2.2749999999999999E-2</v>
      </c>
      <c r="BL175" s="180">
        <f t="shared" si="259"/>
        <v>2.2749999999999999E-2</v>
      </c>
      <c r="BM175" s="547"/>
      <c r="BO175" s="473">
        <f t="shared" si="260"/>
        <v>45.5</v>
      </c>
      <c r="BP175" s="547">
        <f t="shared" si="261"/>
        <v>6.1203041815097543E-3</v>
      </c>
      <c r="BQ175" s="547">
        <f t="shared" si="262"/>
        <v>5.2018635277664477E-4</v>
      </c>
      <c r="BR175" s="547">
        <f t="shared" si="263"/>
        <v>4.6629042372122186E-4</v>
      </c>
      <c r="BS175" s="547">
        <f t="shared" si="264"/>
        <v>5.3977351343344497E-3</v>
      </c>
      <c r="BT175" s="657">
        <f t="shared" si="301"/>
        <v>5.5939393939393942E-2</v>
      </c>
      <c r="BU175" s="473">
        <f t="shared" si="265"/>
        <v>68.44391003173601</v>
      </c>
      <c r="BV175" s="180">
        <f t="shared" si="266"/>
        <v>0.16834277938158448</v>
      </c>
      <c r="BW175" s="5">
        <f t="shared" si="267"/>
        <v>1.3845000000000001</v>
      </c>
      <c r="BX175" s="180">
        <f t="shared" si="268"/>
        <v>0.89159058365932797</v>
      </c>
      <c r="BY175" s="5">
        <f t="shared" si="269"/>
        <v>89.159058365932793</v>
      </c>
      <c r="BZ175">
        <f t="shared" si="270"/>
        <v>65</v>
      </c>
      <c r="CB175" s="582">
        <f t="shared" si="302"/>
        <v>-50</v>
      </c>
      <c r="CC175">
        <f t="shared" si="303"/>
        <v>-50</v>
      </c>
    </row>
    <row r="176" spans="5:81" x14ac:dyDescent="0.25">
      <c r="E176" s="177">
        <v>66</v>
      </c>
      <c r="F176" s="224">
        <f t="shared" si="304"/>
        <v>6.6000000000000003E-2</v>
      </c>
      <c r="G176" s="224">
        <f t="shared" si="271"/>
        <v>6.6000000000000003E-2</v>
      </c>
      <c r="H176" s="224">
        <f t="shared" si="272"/>
        <v>0.4158</v>
      </c>
      <c r="I176" s="224">
        <f t="shared" si="273"/>
        <v>0.99</v>
      </c>
      <c r="J176" s="560">
        <f t="shared" si="274"/>
        <v>10</v>
      </c>
      <c r="K176" s="455">
        <f t="shared" si="275"/>
        <v>13.1</v>
      </c>
      <c r="L176" s="455">
        <f t="shared" si="276"/>
        <v>23.1</v>
      </c>
      <c r="M176" s="455"/>
      <c r="N176" s="224">
        <f t="shared" si="277"/>
        <v>0.5670995670995671</v>
      </c>
      <c r="O176" s="179">
        <f t="shared" si="278"/>
        <v>1.0944622279129324</v>
      </c>
      <c r="P176" s="179">
        <f t="shared" si="279"/>
        <v>2.6058624474117433</v>
      </c>
      <c r="Q176" s="224">
        <f t="shared" si="280"/>
        <v>0.17372416316078293</v>
      </c>
      <c r="R176" s="224">
        <f t="shared" si="281"/>
        <v>7.2964148527528819E-2</v>
      </c>
      <c r="S176" s="224">
        <f t="shared" si="282"/>
        <v>6.3</v>
      </c>
      <c r="T176" s="224">
        <f t="shared" si="283"/>
        <v>0.55087328244274802</v>
      </c>
      <c r="U176" s="224">
        <f t="shared" si="284"/>
        <v>3.0298030534351144</v>
      </c>
      <c r="V176" s="224">
        <f t="shared" si="285"/>
        <v>2.3128267583474158</v>
      </c>
      <c r="W176" s="204">
        <f t="shared" si="286"/>
        <v>350</v>
      </c>
      <c r="X176" s="455">
        <f t="shared" si="287"/>
        <v>187.17373938104785</v>
      </c>
      <c r="Z176" s="224">
        <f t="shared" si="288"/>
        <v>0.29459717771406085</v>
      </c>
      <c r="AA176" s="180">
        <f t="shared" si="289"/>
        <v>1.2368583797155226</v>
      </c>
      <c r="AB176" s="180">
        <f t="shared" si="290"/>
        <v>3.7720509310379111E-2</v>
      </c>
      <c r="AC176" s="180"/>
      <c r="AD176" s="180">
        <f t="shared" si="291"/>
        <v>1.217557251908397</v>
      </c>
      <c r="AE176" s="564">
        <f t="shared" si="292"/>
        <v>631.96874469169347</v>
      </c>
      <c r="AF176" s="547">
        <f t="shared" si="293"/>
        <v>3.6552440597785188E-2</v>
      </c>
      <c r="AH176" s="180">
        <f t="shared" si="294"/>
        <v>0.38217423102185061</v>
      </c>
      <c r="AI176" s="180">
        <f t="shared" si="295"/>
        <v>0.55087328244274802</v>
      </c>
      <c r="AJ176" s="180">
        <f t="shared" si="296"/>
        <v>1.3932394684761096</v>
      </c>
      <c r="AL176" s="564">
        <f t="shared" si="297"/>
        <v>66</v>
      </c>
      <c r="AM176" s="473">
        <f t="shared" si="298"/>
        <v>187.17373938104785</v>
      </c>
      <c r="AO176">
        <f t="shared" si="299"/>
        <v>66</v>
      </c>
      <c r="AP176">
        <f t="shared" si="300"/>
        <v>187.17373938104785</v>
      </c>
      <c r="AR176" s="5">
        <f t="shared" si="225"/>
        <v>5.3426298117825297</v>
      </c>
      <c r="AS176" s="5">
        <f t="shared" si="222"/>
        <v>3.0298030534351144</v>
      </c>
      <c r="AT176" s="5">
        <f t="shared" si="223"/>
        <v>2.3128267583474154</v>
      </c>
      <c r="AU176" s="180">
        <f t="shared" si="224"/>
        <v>0.5670995670995671</v>
      </c>
      <c r="AW176" s="5">
        <f t="shared" si="246"/>
        <v>3.1740793893129768</v>
      </c>
      <c r="AX176" s="5">
        <f t="shared" si="247"/>
        <v>1.3331133435114504</v>
      </c>
      <c r="AY176" s="5">
        <f t="shared" si="248"/>
        <v>8.9043830196375476E-2</v>
      </c>
      <c r="AZ176" s="5"/>
      <c r="BA176" s="180">
        <f t="shared" si="249"/>
        <v>0.23950839472769667</v>
      </c>
      <c r="BB176" s="180">
        <f t="shared" si="250"/>
        <v>0.12378728387710412</v>
      </c>
      <c r="BC176" s="180">
        <f t="shared" si="251"/>
        <v>0.12658965017877158</v>
      </c>
      <c r="BD176" s="180"/>
      <c r="BE176" s="547">
        <f t="shared" si="252"/>
        <v>2.0077494900763354E-2</v>
      </c>
      <c r="BF176" s="547">
        <f t="shared" si="253"/>
        <v>2.3818181818181818E-2</v>
      </c>
      <c r="BG176" s="547">
        <f t="shared" si="254"/>
        <v>2.339671742263098E-3</v>
      </c>
      <c r="BH176" s="547">
        <f t="shared" si="255"/>
        <v>5.7429722965894542E-3</v>
      </c>
      <c r="BI176">
        <f t="shared" si="256"/>
        <v>2.8999999999999998E-3</v>
      </c>
      <c r="BJ176" s="473">
        <f t="shared" si="257"/>
        <v>54.878320757797731</v>
      </c>
      <c r="BK176" s="180">
        <f t="shared" si="258"/>
        <v>2.3099999999999999E-2</v>
      </c>
      <c r="BL176" s="180">
        <f t="shared" si="259"/>
        <v>2.3099999999999999E-2</v>
      </c>
      <c r="BM176" s="547"/>
      <c r="BO176" s="473">
        <f t="shared" si="260"/>
        <v>46.199999999999996</v>
      </c>
      <c r="BP176" s="547">
        <f t="shared" si="261"/>
        <v>6.3100698259541971E-3</v>
      </c>
      <c r="BQ176" s="547">
        <f t="shared" si="262"/>
        <v>5.3631520773847669E-4</v>
      </c>
      <c r="BR176" s="547">
        <f t="shared" si="263"/>
        <v>4.807481859715129E-4</v>
      </c>
      <c r="BS176" s="547">
        <f t="shared" si="264"/>
        <v>5.3977351343344505E-3</v>
      </c>
      <c r="BT176" s="657">
        <f t="shared" si="301"/>
        <v>5.6799999999999996E-2</v>
      </c>
      <c r="BU176" s="473">
        <f t="shared" si="265"/>
        <v>69.524868353998627</v>
      </c>
      <c r="BV176" s="180">
        <f t="shared" si="266"/>
        <v>0.17060318911179637</v>
      </c>
      <c r="BW176" s="5">
        <f t="shared" si="267"/>
        <v>1.4057999999999999</v>
      </c>
      <c r="BX176" s="180">
        <f t="shared" si="268"/>
        <v>0.89177693226571031</v>
      </c>
      <c r="BY176" s="5">
        <f t="shared" si="269"/>
        <v>89.177693226571037</v>
      </c>
      <c r="BZ176">
        <f t="shared" si="270"/>
        <v>66</v>
      </c>
      <c r="CB176" s="582">
        <f t="shared" si="302"/>
        <v>-50</v>
      </c>
      <c r="CC176">
        <f t="shared" si="303"/>
        <v>-50</v>
      </c>
    </row>
    <row r="177" spans="5:81" x14ac:dyDescent="0.25">
      <c r="E177" s="177">
        <v>67</v>
      </c>
      <c r="F177" s="224">
        <f t="shared" si="304"/>
        <v>6.7000000000000004E-2</v>
      </c>
      <c r="G177" s="224">
        <f t="shared" si="271"/>
        <v>6.7000000000000004E-2</v>
      </c>
      <c r="H177" s="224">
        <f t="shared" si="272"/>
        <v>0.42210000000000003</v>
      </c>
      <c r="I177" s="224">
        <f t="shared" si="273"/>
        <v>1.0050000000000001</v>
      </c>
      <c r="J177" s="560">
        <f t="shared" si="274"/>
        <v>10</v>
      </c>
      <c r="K177" s="455">
        <f t="shared" si="275"/>
        <v>13.1</v>
      </c>
      <c r="L177" s="455">
        <f t="shared" si="276"/>
        <v>23.1</v>
      </c>
      <c r="M177" s="455"/>
      <c r="N177" s="224">
        <f t="shared" si="277"/>
        <v>0.5670995670995671</v>
      </c>
      <c r="O177" s="179">
        <f t="shared" si="278"/>
        <v>1.0944622279129324</v>
      </c>
      <c r="P177" s="179">
        <f t="shared" si="279"/>
        <v>2.6058624474117433</v>
      </c>
      <c r="Q177" s="224">
        <f t="shared" si="280"/>
        <v>0.17372416316078293</v>
      </c>
      <c r="R177" s="224">
        <f t="shared" si="281"/>
        <v>7.2964148527528819E-2</v>
      </c>
      <c r="S177" s="224">
        <f t="shared" si="282"/>
        <v>6.3</v>
      </c>
      <c r="T177" s="224">
        <f t="shared" si="283"/>
        <v>0.55921984732824437</v>
      </c>
      <c r="U177" s="224">
        <f t="shared" si="284"/>
        <v>3.0757091603053444</v>
      </c>
      <c r="V177" s="224">
        <f t="shared" si="285"/>
        <v>2.3478695880193468</v>
      </c>
      <c r="W177" s="204">
        <f t="shared" si="286"/>
        <v>350</v>
      </c>
      <c r="X177" s="455">
        <f t="shared" si="287"/>
        <v>184.38010147983815</v>
      </c>
      <c r="Z177" s="224">
        <f t="shared" si="288"/>
        <v>0.29459717771406085</v>
      </c>
      <c r="AA177" s="180">
        <f t="shared" si="289"/>
        <v>1.2368583797155226</v>
      </c>
      <c r="AB177" s="180">
        <f t="shared" si="290"/>
        <v>3.7720509310379111E-2</v>
      </c>
      <c r="AC177" s="180"/>
      <c r="AD177" s="180">
        <f t="shared" si="291"/>
        <v>1.217557251908397</v>
      </c>
      <c r="AE177" s="564">
        <f t="shared" si="292"/>
        <v>641.54402870217359</v>
      </c>
      <c r="AF177" s="547">
        <f t="shared" si="293"/>
        <v>3.6552440597785188E-2</v>
      </c>
      <c r="AH177" s="180">
        <f t="shared" si="294"/>
        <v>0.38505860576038276</v>
      </c>
      <c r="AI177" s="180">
        <f t="shared" si="295"/>
        <v>0.55921984732824437</v>
      </c>
      <c r="AJ177" s="180">
        <f t="shared" si="296"/>
        <v>1.3994221091320329</v>
      </c>
      <c r="AL177" s="564">
        <f t="shared" si="297"/>
        <v>67</v>
      </c>
      <c r="AM177" s="473">
        <f t="shared" si="298"/>
        <v>184.38010147983815</v>
      </c>
      <c r="AO177">
        <f t="shared" si="299"/>
        <v>67</v>
      </c>
      <c r="AP177">
        <f t="shared" si="300"/>
        <v>184.38010147983815</v>
      </c>
      <c r="AR177" s="5">
        <f t="shared" si="225"/>
        <v>5.4235787483246902</v>
      </c>
      <c r="AS177" s="5">
        <f t="shared" si="222"/>
        <v>3.0757091603053444</v>
      </c>
      <c r="AT177" s="5">
        <f t="shared" si="223"/>
        <v>2.3478695880193459</v>
      </c>
      <c r="AU177" s="180">
        <f t="shared" si="224"/>
        <v>0.56709956709956721</v>
      </c>
      <c r="AW177" s="5">
        <f t="shared" si="246"/>
        <v>3.2709922815945731</v>
      </c>
      <c r="AX177" s="5">
        <f t="shared" si="247"/>
        <v>1.3738167582697205</v>
      </c>
      <c r="AY177" s="5">
        <f t="shared" si="248"/>
        <v>9.1762569731756102E-2</v>
      </c>
      <c r="AZ177" s="5"/>
      <c r="BA177" s="180">
        <f t="shared" si="249"/>
        <v>0.24313730979932852</v>
      </c>
      <c r="BB177" s="180">
        <f t="shared" si="250"/>
        <v>0.12566284878433298</v>
      </c>
      <c r="BC177" s="180">
        <f t="shared" si="251"/>
        <v>0.12850767518148026</v>
      </c>
      <c r="BD177" s="180"/>
      <c r="BE177" s="547">
        <f t="shared" si="252"/>
        <v>2.0690512995759126E-2</v>
      </c>
      <c r="BF177" s="547">
        <f t="shared" si="253"/>
        <v>2.3818181818181822E-2</v>
      </c>
      <c r="BG177" s="547">
        <f t="shared" si="254"/>
        <v>2.3047512684979767E-3</v>
      </c>
      <c r="BH177" s="547">
        <f t="shared" si="255"/>
        <v>5.6572562921627439E-3</v>
      </c>
      <c r="BI177">
        <f t="shared" si="256"/>
        <v>2.8999999999999998E-3</v>
      </c>
      <c r="BJ177" s="473">
        <f t="shared" si="257"/>
        <v>55.370702374601663</v>
      </c>
      <c r="BK177" s="180">
        <f t="shared" si="258"/>
        <v>2.3449999999999999E-2</v>
      </c>
      <c r="BL177" s="180">
        <f t="shared" si="259"/>
        <v>2.3449999999999999E-2</v>
      </c>
      <c r="BM177" s="547"/>
      <c r="BO177" s="473">
        <f t="shared" si="260"/>
        <v>46.9</v>
      </c>
      <c r="BP177" s="547">
        <f t="shared" si="261"/>
        <v>6.5027326558100111E-3</v>
      </c>
      <c r="BQ177" s="547">
        <f t="shared" si="262"/>
        <v>5.5269030476079494E-4</v>
      </c>
      <c r="BR177" s="547">
        <f t="shared" si="263"/>
        <v>4.9542667741646514E-4</v>
      </c>
      <c r="BS177" s="547">
        <f t="shared" si="264"/>
        <v>5.3977351343344505E-3</v>
      </c>
      <c r="BT177" s="657">
        <f t="shared" si="301"/>
        <v>5.7660606060606072E-2</v>
      </c>
      <c r="BU177" s="473">
        <f t="shared" si="265"/>
        <v>70.609190832927794</v>
      </c>
      <c r="BV177" s="180">
        <f t="shared" si="266"/>
        <v>0.17287989320752944</v>
      </c>
      <c r="BW177" s="5">
        <f t="shared" si="267"/>
        <v>1.4271000000000003</v>
      </c>
      <c r="BX177" s="180">
        <f t="shared" si="268"/>
        <v>0.89194870889223998</v>
      </c>
      <c r="BY177" s="5">
        <f t="shared" si="269"/>
        <v>89.194870889223992</v>
      </c>
      <c r="BZ177">
        <f t="shared" si="270"/>
        <v>67</v>
      </c>
      <c r="CB177" s="582">
        <f t="shared" si="302"/>
        <v>-50</v>
      </c>
      <c r="CC177">
        <f t="shared" si="303"/>
        <v>-50</v>
      </c>
    </row>
    <row r="178" spans="5:81" x14ac:dyDescent="0.25">
      <c r="E178" s="177">
        <v>68</v>
      </c>
      <c r="F178" s="224">
        <f t="shared" si="304"/>
        <v>6.8000000000000005E-2</v>
      </c>
      <c r="G178" s="224">
        <f t="shared" si="271"/>
        <v>6.8000000000000005E-2</v>
      </c>
      <c r="H178" s="224">
        <f t="shared" si="272"/>
        <v>0.4284</v>
      </c>
      <c r="I178" s="224">
        <f t="shared" si="273"/>
        <v>1.02</v>
      </c>
      <c r="J178" s="560">
        <f t="shared" si="274"/>
        <v>10</v>
      </c>
      <c r="K178" s="455">
        <f t="shared" si="275"/>
        <v>13.1</v>
      </c>
      <c r="L178" s="455">
        <f t="shared" si="276"/>
        <v>23.1</v>
      </c>
      <c r="M178" s="455"/>
      <c r="N178" s="224">
        <f t="shared" si="277"/>
        <v>0.5670995670995671</v>
      </c>
      <c r="O178" s="179">
        <f t="shared" si="278"/>
        <v>1.0944622279129324</v>
      </c>
      <c r="P178" s="179">
        <f t="shared" si="279"/>
        <v>2.6058624474117433</v>
      </c>
      <c r="Q178" s="224">
        <f t="shared" si="280"/>
        <v>0.17372416316078293</v>
      </c>
      <c r="R178" s="224">
        <f t="shared" si="281"/>
        <v>7.2964148527528819E-2</v>
      </c>
      <c r="S178" s="224">
        <f t="shared" si="282"/>
        <v>6.3</v>
      </c>
      <c r="T178" s="224">
        <f t="shared" si="283"/>
        <v>0.56756641221374038</v>
      </c>
      <c r="U178" s="224">
        <f t="shared" si="284"/>
        <v>3.1216152671755726</v>
      </c>
      <c r="V178" s="224">
        <f t="shared" si="285"/>
        <v>2.3829124176912768</v>
      </c>
      <c r="W178" s="204">
        <f t="shared" si="286"/>
        <v>350</v>
      </c>
      <c r="X178" s="455">
        <f t="shared" si="287"/>
        <v>181.66862939925232</v>
      </c>
      <c r="Z178" s="224">
        <f t="shared" si="288"/>
        <v>0.29459717771406085</v>
      </c>
      <c r="AA178" s="180">
        <f t="shared" si="289"/>
        <v>1.2368583797155226</v>
      </c>
      <c r="AB178" s="180">
        <f t="shared" si="290"/>
        <v>3.7720509310379111E-2</v>
      </c>
      <c r="AC178" s="180"/>
      <c r="AD178" s="180">
        <f t="shared" si="291"/>
        <v>1.217557251908397</v>
      </c>
      <c r="AE178" s="564">
        <f t="shared" si="292"/>
        <v>651.11931271265382</v>
      </c>
      <c r="AF178" s="547">
        <f t="shared" si="293"/>
        <v>3.6552440597785188E-2</v>
      </c>
      <c r="AH178" s="180">
        <f t="shared" si="294"/>
        <v>0.38792153444107341</v>
      </c>
      <c r="AI178" s="180">
        <f t="shared" si="295"/>
        <v>0.56756641221374038</v>
      </c>
      <c r="AJ178" s="180">
        <f t="shared" si="296"/>
        <v>1.4056047497879558</v>
      </c>
      <c r="AL178" s="564">
        <f t="shared" si="297"/>
        <v>68</v>
      </c>
      <c r="AM178" s="473">
        <f t="shared" si="298"/>
        <v>181.66862939925232</v>
      </c>
      <c r="AO178">
        <f t="shared" si="299"/>
        <v>68</v>
      </c>
      <c r="AP178">
        <f t="shared" si="300"/>
        <v>181.66862939925232</v>
      </c>
      <c r="AR178" s="5">
        <f t="shared" si="225"/>
        <v>5.504527684866849</v>
      </c>
      <c r="AS178" s="5">
        <f t="shared" si="222"/>
        <v>3.1216152671755726</v>
      </c>
      <c r="AT178" s="5">
        <f t="shared" si="223"/>
        <v>2.3829124176912764</v>
      </c>
      <c r="AU178" s="180">
        <f t="shared" si="224"/>
        <v>0.5670995670995671</v>
      </c>
      <c r="AW178" s="5">
        <f t="shared" si="246"/>
        <v>3.3693625106022056</v>
      </c>
      <c r="AX178" s="5">
        <f t="shared" si="247"/>
        <v>1.4151322544529263</v>
      </c>
      <c r="AY178" s="5">
        <f t="shared" si="248"/>
        <v>9.4522192568420607E-2</v>
      </c>
      <c r="AZ178" s="5"/>
      <c r="BA178" s="180">
        <f t="shared" si="249"/>
        <v>0.2467662248709602</v>
      </c>
      <c r="BB178" s="180">
        <f t="shared" si="250"/>
        <v>0.1275384136915618</v>
      </c>
      <c r="BC178" s="180">
        <f t="shared" si="251"/>
        <v>0.13042570018418889</v>
      </c>
      <c r="BD178" s="180"/>
      <c r="BE178" s="547">
        <f t="shared" si="252"/>
        <v>2.1312749407972852E-2</v>
      </c>
      <c r="BF178" s="547">
        <f t="shared" si="253"/>
        <v>2.3818181818181818E-2</v>
      </c>
      <c r="BG178" s="547">
        <f t="shared" si="254"/>
        <v>2.2708578674906538E-3</v>
      </c>
      <c r="BH178" s="547">
        <f t="shared" si="255"/>
        <v>5.5740613466897645E-3</v>
      </c>
      <c r="BI178">
        <f t="shared" si="256"/>
        <v>2.8999999999999998E-3</v>
      </c>
      <c r="BJ178" s="473">
        <f t="shared" si="257"/>
        <v>55.875850440335093</v>
      </c>
      <c r="BK178" s="180">
        <f t="shared" si="258"/>
        <v>2.3800000000000002E-2</v>
      </c>
      <c r="BL178" s="180">
        <f t="shared" si="259"/>
        <v>2.3800000000000002E-2</v>
      </c>
      <c r="BM178" s="547"/>
      <c r="BO178" s="473">
        <f t="shared" si="260"/>
        <v>47.6</v>
      </c>
      <c r="BP178" s="547">
        <f t="shared" si="261"/>
        <v>6.6982926710771832E-3</v>
      </c>
      <c r="BQ178" s="547">
        <f t="shared" si="262"/>
        <v>5.6931164384359863E-4</v>
      </c>
      <c r="BR178" s="547">
        <f t="shared" si="263"/>
        <v>5.1032589805607791E-4</v>
      </c>
      <c r="BS178" s="547">
        <f t="shared" si="264"/>
        <v>5.3977351343344583E-3</v>
      </c>
      <c r="BT178" s="657">
        <f t="shared" si="301"/>
        <v>5.852121212121212E-2</v>
      </c>
      <c r="BU178" s="473">
        <f t="shared" si="265"/>
        <v>71.696877468523439</v>
      </c>
      <c r="BV178" s="180">
        <f t="shared" si="266"/>
        <v>0.17517272790885854</v>
      </c>
      <c r="BW178" s="5">
        <f t="shared" si="267"/>
        <v>1.4483999999999999</v>
      </c>
      <c r="BX178" s="180">
        <f t="shared" si="268"/>
        <v>0.89210663316913497</v>
      </c>
      <c r="BY178" s="5">
        <f t="shared" si="269"/>
        <v>89.210663316913497</v>
      </c>
      <c r="BZ178">
        <f t="shared" si="270"/>
        <v>68</v>
      </c>
      <c r="CB178" s="582">
        <f t="shared" si="302"/>
        <v>-50</v>
      </c>
      <c r="CC178">
        <f t="shared" si="303"/>
        <v>-50</v>
      </c>
    </row>
    <row r="179" spans="5:81" x14ac:dyDescent="0.25">
      <c r="E179" s="177">
        <v>69</v>
      </c>
      <c r="F179" s="224">
        <f t="shared" si="304"/>
        <v>6.8999999999999992E-2</v>
      </c>
      <c r="G179" s="224">
        <f t="shared" si="271"/>
        <v>6.8999999999999992E-2</v>
      </c>
      <c r="H179" s="224">
        <f t="shared" si="272"/>
        <v>0.43469999999999992</v>
      </c>
      <c r="I179" s="224">
        <f t="shared" si="273"/>
        <v>1.0349999999999999</v>
      </c>
      <c r="J179" s="560">
        <f t="shared" si="274"/>
        <v>10</v>
      </c>
      <c r="K179" s="455">
        <f t="shared" si="275"/>
        <v>13.1</v>
      </c>
      <c r="L179" s="455">
        <f t="shared" si="276"/>
        <v>23.1</v>
      </c>
      <c r="M179" s="455"/>
      <c r="N179" s="224">
        <f t="shared" si="277"/>
        <v>0.5670995670995671</v>
      </c>
      <c r="O179" s="179">
        <f t="shared" si="278"/>
        <v>1.0944622279129324</v>
      </c>
      <c r="P179" s="179">
        <f t="shared" si="279"/>
        <v>2.6058624474117433</v>
      </c>
      <c r="Q179" s="224">
        <f t="shared" si="280"/>
        <v>0.17372416316078293</v>
      </c>
      <c r="R179" s="224">
        <f t="shared" si="281"/>
        <v>7.2964148527528819E-2</v>
      </c>
      <c r="S179" s="224">
        <f t="shared" si="282"/>
        <v>6.3</v>
      </c>
      <c r="T179" s="224">
        <f t="shared" si="283"/>
        <v>0.5759129770992365</v>
      </c>
      <c r="U179" s="224">
        <f t="shared" si="284"/>
        <v>3.1675213740458008</v>
      </c>
      <c r="V179" s="224">
        <f t="shared" si="285"/>
        <v>2.4179552473632069</v>
      </c>
      <c r="W179" s="204">
        <f t="shared" si="286"/>
        <v>350</v>
      </c>
      <c r="X179" s="455">
        <f t="shared" si="287"/>
        <v>179.03575071230668</v>
      </c>
      <c r="Z179" s="224">
        <f t="shared" si="288"/>
        <v>0.29459717771406085</v>
      </c>
      <c r="AA179" s="180">
        <f t="shared" si="289"/>
        <v>1.2368583797155226</v>
      </c>
      <c r="AB179" s="180">
        <f t="shared" si="290"/>
        <v>3.7720509310379111E-2</v>
      </c>
      <c r="AC179" s="180"/>
      <c r="AD179" s="180">
        <f t="shared" si="291"/>
        <v>1.217557251908397</v>
      </c>
      <c r="AE179" s="564">
        <f t="shared" si="292"/>
        <v>660.69459672313394</v>
      </c>
      <c r="AF179" s="547">
        <f t="shared" si="293"/>
        <v>3.6552440597785188E-2</v>
      </c>
      <c r="AH179" s="180">
        <f t="shared" si="294"/>
        <v>0.39076348843783226</v>
      </c>
      <c r="AI179" s="180">
        <f t="shared" si="295"/>
        <v>0.5759129770992365</v>
      </c>
      <c r="AJ179" s="180">
        <f t="shared" si="296"/>
        <v>1.4117873904438789</v>
      </c>
      <c r="AL179" s="564">
        <f t="shared" si="297"/>
        <v>68.999999999999986</v>
      </c>
      <c r="AM179" s="473">
        <f t="shared" si="298"/>
        <v>179.03575071230668</v>
      </c>
      <c r="AO179">
        <f t="shared" si="299"/>
        <v>68.999999999999986</v>
      </c>
      <c r="AP179">
        <f t="shared" si="300"/>
        <v>179.03575071230668</v>
      </c>
      <c r="AR179" s="5">
        <f t="shared" si="225"/>
        <v>5.5854766214090077</v>
      </c>
      <c r="AS179" s="5">
        <f t="shared" ref="AS179:AS242" si="305">L*AI179/J179*1000000</f>
        <v>3.1675213740458008</v>
      </c>
      <c r="AT179" s="5">
        <f t="shared" ref="AT179:AT242" si="306">AR179-AS179</f>
        <v>2.4179552473632069</v>
      </c>
      <c r="AU179" s="180">
        <f t="shared" ref="AU179:AU242" si="307">AS179/AR179</f>
        <v>0.5670995670995671</v>
      </c>
      <c r="AW179" s="5">
        <f t="shared" si="246"/>
        <v>3.4691900763358765</v>
      </c>
      <c r="AX179" s="5">
        <f t="shared" si="247"/>
        <v>1.4570598320610681</v>
      </c>
      <c r="AY179" s="5">
        <f t="shared" si="248"/>
        <v>9.7322698706369046E-2</v>
      </c>
      <c r="AZ179" s="5"/>
      <c r="BA179" s="180">
        <f t="shared" si="249"/>
        <v>0.25039513994259194</v>
      </c>
      <c r="BB179" s="180">
        <f t="shared" si="250"/>
        <v>0.12941397859879064</v>
      </c>
      <c r="BC179" s="180">
        <f t="shared" si="251"/>
        <v>0.13234372518689755</v>
      </c>
      <c r="BD179" s="180"/>
      <c r="BE179" s="547">
        <f t="shared" si="252"/>
        <v>2.1944204137404569E-2</v>
      </c>
      <c r="BF179" s="547">
        <f t="shared" si="253"/>
        <v>2.3818181818181822E-2</v>
      </c>
      <c r="BG179" s="547">
        <f t="shared" si="254"/>
        <v>2.2379468839038336E-3</v>
      </c>
      <c r="BH179" s="547">
        <f t="shared" si="255"/>
        <v>5.4932778489116532E-3</v>
      </c>
      <c r="BI179">
        <f t="shared" si="256"/>
        <v>2.8999999999999998E-3</v>
      </c>
      <c r="BJ179" s="473">
        <f t="shared" si="257"/>
        <v>56.393610688401878</v>
      </c>
      <c r="BK179" s="180">
        <f t="shared" si="258"/>
        <v>2.4149999999999994E-2</v>
      </c>
      <c r="BL179" s="180">
        <f t="shared" si="259"/>
        <v>2.4149999999999994E-2</v>
      </c>
      <c r="BM179" s="547"/>
      <c r="BO179" s="473">
        <f t="shared" si="260"/>
        <v>48.29999999999999</v>
      </c>
      <c r="BP179" s="547">
        <f t="shared" si="261"/>
        <v>6.8967498717557221E-3</v>
      </c>
      <c r="BQ179" s="547">
        <f t="shared" si="262"/>
        <v>5.8617922498688843E-4</v>
      </c>
      <c r="BR179" s="547">
        <f t="shared" si="263"/>
        <v>5.2544584789035182E-4</v>
      </c>
      <c r="BS179" s="547">
        <f t="shared" si="264"/>
        <v>5.3977351343344523E-3</v>
      </c>
      <c r="BT179" s="657">
        <f t="shared" si="301"/>
        <v>5.9381818181818175E-2</v>
      </c>
      <c r="BU179" s="473">
        <f t="shared" si="265"/>
        <v>72.787928260785591</v>
      </c>
      <c r="BV179" s="180">
        <f t="shared" si="266"/>
        <v>0.17748153894918745</v>
      </c>
      <c r="BW179" s="5">
        <f t="shared" si="267"/>
        <v>1.4696999999999998</v>
      </c>
      <c r="BX179" s="180">
        <f t="shared" si="268"/>
        <v>0.89225137924845177</v>
      </c>
      <c r="BY179" s="5">
        <f t="shared" si="269"/>
        <v>89.225137924845171</v>
      </c>
      <c r="BZ179">
        <f t="shared" si="270"/>
        <v>68.999999999999986</v>
      </c>
      <c r="CB179" s="582">
        <f t="shared" si="302"/>
        <v>-50</v>
      </c>
      <c r="CC179">
        <f t="shared" si="303"/>
        <v>-50</v>
      </c>
    </row>
    <row r="180" spans="5:81" x14ac:dyDescent="0.25">
      <c r="E180" s="177">
        <v>70</v>
      </c>
      <c r="F180" s="224">
        <f t="shared" si="304"/>
        <v>6.9999999999999993E-2</v>
      </c>
      <c r="G180" s="224">
        <f t="shared" si="271"/>
        <v>6.9999999999999993E-2</v>
      </c>
      <c r="H180" s="224">
        <f t="shared" si="272"/>
        <v>0.44099999999999995</v>
      </c>
      <c r="I180" s="224">
        <f t="shared" si="273"/>
        <v>1.0499999999999998</v>
      </c>
      <c r="J180" s="560">
        <f t="shared" si="274"/>
        <v>10</v>
      </c>
      <c r="K180" s="455">
        <f t="shared" si="275"/>
        <v>13.1</v>
      </c>
      <c r="L180" s="455">
        <f t="shared" si="276"/>
        <v>23.1</v>
      </c>
      <c r="M180" s="455"/>
      <c r="N180" s="224">
        <f t="shared" si="277"/>
        <v>0.5670995670995671</v>
      </c>
      <c r="O180" s="179">
        <f t="shared" si="278"/>
        <v>1.0944622279129324</v>
      </c>
      <c r="P180" s="179">
        <f t="shared" si="279"/>
        <v>2.6058624474117433</v>
      </c>
      <c r="Q180" s="224">
        <f t="shared" si="280"/>
        <v>0.17372416316078293</v>
      </c>
      <c r="R180" s="224">
        <f t="shared" si="281"/>
        <v>7.2964148527528819E-2</v>
      </c>
      <c r="S180" s="224">
        <f t="shared" si="282"/>
        <v>6.3</v>
      </c>
      <c r="T180" s="224">
        <f t="shared" si="283"/>
        <v>0.58425954198473273</v>
      </c>
      <c r="U180" s="224">
        <f t="shared" si="284"/>
        <v>3.2134274809160299</v>
      </c>
      <c r="V180" s="224">
        <f t="shared" si="285"/>
        <v>2.4529980770351374</v>
      </c>
      <c r="W180" s="204">
        <f t="shared" si="286"/>
        <v>350</v>
      </c>
      <c r="X180" s="455">
        <f t="shared" si="287"/>
        <v>176.47809713070228</v>
      </c>
      <c r="Z180" s="224">
        <f t="shared" si="288"/>
        <v>0.29459717771406085</v>
      </c>
      <c r="AA180" s="180">
        <f t="shared" si="289"/>
        <v>1.2368583797155226</v>
      </c>
      <c r="AB180" s="180">
        <f t="shared" si="290"/>
        <v>3.7720509310379111E-2</v>
      </c>
      <c r="AC180" s="180"/>
      <c r="AD180" s="180">
        <f t="shared" si="291"/>
        <v>1.217557251908397</v>
      </c>
      <c r="AE180" s="564">
        <f t="shared" si="292"/>
        <v>670.26988073361417</v>
      </c>
      <c r="AF180" s="547">
        <f t="shared" si="293"/>
        <v>3.6552440597785188E-2</v>
      </c>
      <c r="AH180" s="180">
        <f t="shared" si="294"/>
        <v>0.39358492210587903</v>
      </c>
      <c r="AI180" s="180">
        <f t="shared" si="295"/>
        <v>0.58425954198473273</v>
      </c>
      <c r="AJ180" s="180">
        <f t="shared" si="296"/>
        <v>1.417970031099802</v>
      </c>
      <c r="AL180" s="564">
        <f t="shared" si="297"/>
        <v>69.999999999999986</v>
      </c>
      <c r="AM180" s="473">
        <f t="shared" si="298"/>
        <v>176.47809713070228</v>
      </c>
      <c r="AO180">
        <f t="shared" si="299"/>
        <v>69.999999999999986</v>
      </c>
      <c r="AP180">
        <f t="shared" si="300"/>
        <v>176.47809713070228</v>
      </c>
      <c r="AR180" s="5">
        <f t="shared" si="225"/>
        <v>5.6664255579511673</v>
      </c>
      <c r="AS180" s="5">
        <f t="shared" si="305"/>
        <v>3.2134274809160299</v>
      </c>
      <c r="AT180" s="5">
        <f t="shared" si="306"/>
        <v>2.4529980770351374</v>
      </c>
      <c r="AU180" s="180">
        <f t="shared" si="307"/>
        <v>0.5670995670995671</v>
      </c>
      <c r="AW180" s="5">
        <f t="shared" si="246"/>
        <v>3.5704749787955885</v>
      </c>
      <c r="AX180" s="5">
        <f t="shared" si="247"/>
        <v>1.4995994910941473</v>
      </c>
      <c r="AY180" s="5">
        <f t="shared" si="248"/>
        <v>0.10016408814560142</v>
      </c>
      <c r="AZ180" s="5"/>
      <c r="BA180" s="180">
        <f t="shared" si="249"/>
        <v>0.2540240550142237</v>
      </c>
      <c r="BB180" s="180">
        <f t="shared" si="250"/>
        <v>0.13128954350601951</v>
      </c>
      <c r="BC180" s="180">
        <f t="shared" si="251"/>
        <v>0.13426175018960623</v>
      </c>
      <c r="BD180" s="180"/>
      <c r="BE180" s="547">
        <f t="shared" si="252"/>
        <v>2.2584877184054268E-2</v>
      </c>
      <c r="BF180" s="547">
        <f t="shared" si="253"/>
        <v>2.3818181818181822E-2</v>
      </c>
      <c r="BG180" s="547">
        <f t="shared" si="254"/>
        <v>2.2059762141337781E-3</v>
      </c>
      <c r="BH180" s="547">
        <f t="shared" si="255"/>
        <v>5.414802451070057E-3</v>
      </c>
      <c r="BI180">
        <f t="shared" si="256"/>
        <v>2.8999999999999998E-3</v>
      </c>
      <c r="BJ180" s="473">
        <f t="shared" si="257"/>
        <v>56.923837667439926</v>
      </c>
      <c r="BK180" s="180">
        <f t="shared" si="258"/>
        <v>2.4499999999999997E-2</v>
      </c>
      <c r="BL180" s="180">
        <f t="shared" si="259"/>
        <v>2.4499999999999997E-2</v>
      </c>
      <c r="BM180" s="547"/>
      <c r="BO180" s="473">
        <f t="shared" si="260"/>
        <v>48.999999999999993</v>
      </c>
      <c r="BP180" s="547">
        <f t="shared" si="261"/>
        <v>7.0981042578456277E-3</v>
      </c>
      <c r="BQ180" s="547">
        <f t="shared" si="262"/>
        <v>6.0329304819066465E-4</v>
      </c>
      <c r="BR180" s="547">
        <f t="shared" si="263"/>
        <v>5.4078652691928687E-4</v>
      </c>
      <c r="BS180" s="547">
        <f t="shared" si="264"/>
        <v>5.3977351343344583E-3</v>
      </c>
      <c r="BT180" s="657">
        <f t="shared" si="301"/>
        <v>6.0242424242424243E-2</v>
      </c>
      <c r="BU180" s="473">
        <f t="shared" si="265"/>
        <v>73.882343209714278</v>
      </c>
      <c r="BV180" s="180">
        <f t="shared" si="266"/>
        <v>0.17980618087715419</v>
      </c>
      <c r="BW180" s="5">
        <f t="shared" si="267"/>
        <v>1.4909999999999997</v>
      </c>
      <c r="BX180" s="180">
        <f t="shared" si="268"/>
        <v>0.89238357929538059</v>
      </c>
      <c r="BY180" s="5">
        <f t="shared" si="269"/>
        <v>89.238357929538054</v>
      </c>
      <c r="BZ180">
        <f t="shared" si="270"/>
        <v>69.999999999999986</v>
      </c>
      <c r="CB180" s="582">
        <f t="shared" si="302"/>
        <v>-50</v>
      </c>
      <c r="CC180">
        <f t="shared" si="303"/>
        <v>-50</v>
      </c>
    </row>
    <row r="181" spans="5:81" x14ac:dyDescent="0.25">
      <c r="E181" s="177">
        <v>71</v>
      </c>
      <c r="F181" s="224">
        <f t="shared" si="304"/>
        <v>7.0999999999999994E-2</v>
      </c>
      <c r="G181" s="224">
        <f t="shared" si="271"/>
        <v>7.0999999999999994E-2</v>
      </c>
      <c r="H181" s="224">
        <f t="shared" si="272"/>
        <v>0.44729999999999992</v>
      </c>
      <c r="I181" s="224">
        <f t="shared" si="273"/>
        <v>1.0649999999999999</v>
      </c>
      <c r="J181" s="560">
        <f t="shared" si="274"/>
        <v>10</v>
      </c>
      <c r="K181" s="455">
        <f t="shared" si="275"/>
        <v>13.1</v>
      </c>
      <c r="L181" s="455">
        <f t="shared" si="276"/>
        <v>23.1</v>
      </c>
      <c r="M181" s="455"/>
      <c r="N181" s="224">
        <f t="shared" si="277"/>
        <v>0.5670995670995671</v>
      </c>
      <c r="O181" s="179">
        <f t="shared" si="278"/>
        <v>1.0944622279129324</v>
      </c>
      <c r="P181" s="179">
        <f t="shared" si="279"/>
        <v>2.6058624474117433</v>
      </c>
      <c r="Q181" s="224">
        <f t="shared" si="280"/>
        <v>0.17372416316078293</v>
      </c>
      <c r="R181" s="224">
        <f t="shared" si="281"/>
        <v>7.2964148527528819E-2</v>
      </c>
      <c r="S181" s="224">
        <f t="shared" si="282"/>
        <v>6.3</v>
      </c>
      <c r="T181" s="224">
        <f t="shared" si="283"/>
        <v>0.59260610687022885</v>
      </c>
      <c r="U181" s="224">
        <f t="shared" si="284"/>
        <v>3.259333587786259</v>
      </c>
      <c r="V181" s="224">
        <f t="shared" si="285"/>
        <v>2.4880409067070679</v>
      </c>
      <c r="W181" s="204">
        <f t="shared" si="286"/>
        <v>350</v>
      </c>
      <c r="X181" s="455">
        <f t="shared" si="287"/>
        <v>173.99249012886139</v>
      </c>
      <c r="Z181" s="224">
        <f t="shared" si="288"/>
        <v>0.29459717771406085</v>
      </c>
      <c r="AA181" s="180">
        <f t="shared" si="289"/>
        <v>1.2368583797155226</v>
      </c>
      <c r="AB181" s="180">
        <f t="shared" si="290"/>
        <v>3.7720509310379111E-2</v>
      </c>
      <c r="AC181" s="180"/>
      <c r="AD181" s="180">
        <f t="shared" si="291"/>
        <v>1.217557251908397</v>
      </c>
      <c r="AE181" s="564">
        <f t="shared" si="292"/>
        <v>679.8451647440944</v>
      </c>
      <c r="AF181" s="547">
        <f t="shared" si="293"/>
        <v>3.6552440597785188E-2</v>
      </c>
      <c r="AH181" s="180">
        <f t="shared" si="294"/>
        <v>0.39638627362974854</v>
      </c>
      <c r="AI181" s="180">
        <f t="shared" si="295"/>
        <v>0.59260610687022885</v>
      </c>
      <c r="AJ181" s="180">
        <f t="shared" si="296"/>
        <v>1.4241526717557251</v>
      </c>
      <c r="AL181" s="564">
        <f t="shared" si="297"/>
        <v>71</v>
      </c>
      <c r="AM181" s="473">
        <f t="shared" si="298"/>
        <v>173.99249012886139</v>
      </c>
      <c r="AO181">
        <f t="shared" si="299"/>
        <v>71</v>
      </c>
      <c r="AP181">
        <f t="shared" si="300"/>
        <v>173.99249012886139</v>
      </c>
      <c r="AR181" s="5">
        <f t="shared" si="225"/>
        <v>5.7473744944933278</v>
      </c>
      <c r="AS181" s="5">
        <f t="shared" si="305"/>
        <v>3.259333587786259</v>
      </c>
      <c r="AT181" s="5">
        <f t="shared" si="306"/>
        <v>2.4880409067070688</v>
      </c>
      <c r="AU181" s="180">
        <f t="shared" si="307"/>
        <v>0.56709956709956699</v>
      </c>
      <c r="AW181" s="5">
        <f t="shared" si="246"/>
        <v>3.6732172179813389</v>
      </c>
      <c r="AX181" s="5">
        <f t="shared" si="247"/>
        <v>1.5427512315521623</v>
      </c>
      <c r="AY181" s="5">
        <f t="shared" si="248"/>
        <v>0.10304636088611772</v>
      </c>
      <c r="AZ181" s="5"/>
      <c r="BA181" s="180">
        <f t="shared" si="249"/>
        <v>0.25765297008585542</v>
      </c>
      <c r="BB181" s="180">
        <f t="shared" si="250"/>
        <v>0.13316510841324836</v>
      </c>
      <c r="BC181" s="180">
        <f t="shared" si="251"/>
        <v>0.13617977519231486</v>
      </c>
      <c r="BD181" s="180"/>
      <c r="BE181" s="547">
        <f t="shared" si="252"/>
        <v>2.3234768547921947E-2</v>
      </c>
      <c r="BF181" s="547">
        <f t="shared" si="253"/>
        <v>2.3818181818181818E-2</v>
      </c>
      <c r="BG181" s="547">
        <f t="shared" si="254"/>
        <v>2.1749061266107673E-3</v>
      </c>
      <c r="BH181" s="547">
        <f t="shared" si="255"/>
        <v>5.3385376278155487E-3</v>
      </c>
      <c r="BI181">
        <f t="shared" si="256"/>
        <v>2.8999999999999998E-3</v>
      </c>
      <c r="BJ181" s="473">
        <f t="shared" si="257"/>
        <v>57.466394120530083</v>
      </c>
      <c r="BK181" s="180">
        <f t="shared" si="258"/>
        <v>2.4849999999999997E-2</v>
      </c>
      <c r="BL181" s="180">
        <f t="shared" si="259"/>
        <v>2.4849999999999997E-2</v>
      </c>
      <c r="BM181" s="547"/>
      <c r="BO181" s="473">
        <f t="shared" si="260"/>
        <v>49.699999999999996</v>
      </c>
      <c r="BP181" s="547">
        <f t="shared" si="261"/>
        <v>7.3023558293468975E-3</v>
      </c>
      <c r="BQ181" s="547">
        <f t="shared" si="262"/>
        <v>6.2065311345492664E-4</v>
      </c>
      <c r="BR181" s="547">
        <f t="shared" si="263"/>
        <v>5.5634793514288241E-4</v>
      </c>
      <c r="BS181" s="547">
        <f t="shared" si="264"/>
        <v>5.3977351343344505E-3</v>
      </c>
      <c r="BT181" s="657">
        <f t="shared" si="301"/>
        <v>6.1103030303030284E-2</v>
      </c>
      <c r="BU181" s="473">
        <f t="shared" si="265"/>
        <v>74.980122315309444</v>
      </c>
      <c r="BV181" s="180">
        <f t="shared" si="266"/>
        <v>0.18214651643583951</v>
      </c>
      <c r="BW181" s="5">
        <f t="shared" si="267"/>
        <v>1.5122999999999998</v>
      </c>
      <c r="BX181" s="180">
        <f t="shared" si="268"/>
        <v>0.89250382666608252</v>
      </c>
      <c r="BY181" s="5">
        <f t="shared" si="269"/>
        <v>89.250382666608246</v>
      </c>
      <c r="BZ181">
        <f t="shared" si="270"/>
        <v>70.999999999999986</v>
      </c>
      <c r="CB181" s="582">
        <f t="shared" si="302"/>
        <v>-50</v>
      </c>
      <c r="CC181">
        <f t="shared" si="303"/>
        <v>-50</v>
      </c>
    </row>
    <row r="182" spans="5:81" x14ac:dyDescent="0.25">
      <c r="E182" s="177">
        <v>72</v>
      </c>
      <c r="F182" s="224">
        <f t="shared" si="304"/>
        <v>7.1999999999999995E-2</v>
      </c>
      <c r="G182" s="224">
        <f t="shared" si="271"/>
        <v>7.1999999999999995E-2</v>
      </c>
      <c r="H182" s="224">
        <f t="shared" si="272"/>
        <v>0.45359999999999995</v>
      </c>
      <c r="I182" s="224">
        <f t="shared" si="273"/>
        <v>1.0799999999999998</v>
      </c>
      <c r="J182" s="560">
        <f t="shared" si="274"/>
        <v>10</v>
      </c>
      <c r="K182" s="455">
        <f t="shared" si="275"/>
        <v>13.1</v>
      </c>
      <c r="L182" s="455">
        <f t="shared" si="276"/>
        <v>23.1</v>
      </c>
      <c r="M182" s="455"/>
      <c r="N182" s="224">
        <f t="shared" si="277"/>
        <v>0.5670995670995671</v>
      </c>
      <c r="O182" s="179">
        <f t="shared" si="278"/>
        <v>1.0944622279129324</v>
      </c>
      <c r="P182" s="179">
        <f t="shared" si="279"/>
        <v>2.6058624474117433</v>
      </c>
      <c r="Q182" s="224">
        <f t="shared" si="280"/>
        <v>0.17372416316078293</v>
      </c>
      <c r="R182" s="224">
        <f t="shared" si="281"/>
        <v>7.2964148527528819E-2</v>
      </c>
      <c r="S182" s="224">
        <f t="shared" si="282"/>
        <v>6.3</v>
      </c>
      <c r="T182" s="224">
        <f t="shared" si="283"/>
        <v>0.60095267175572509</v>
      </c>
      <c r="U182" s="224">
        <f t="shared" si="284"/>
        <v>3.3052396946564881</v>
      </c>
      <c r="V182" s="224">
        <f t="shared" si="285"/>
        <v>2.5230837363789984</v>
      </c>
      <c r="W182" s="204">
        <f t="shared" si="286"/>
        <v>350</v>
      </c>
      <c r="X182" s="455">
        <f t="shared" si="287"/>
        <v>171.57592776596056</v>
      </c>
      <c r="Z182" s="224">
        <f t="shared" si="288"/>
        <v>0.29459717771406085</v>
      </c>
      <c r="AA182" s="180">
        <f t="shared" si="289"/>
        <v>1.2368583797155226</v>
      </c>
      <c r="AB182" s="180">
        <f t="shared" si="290"/>
        <v>3.7720509310379111E-2</v>
      </c>
      <c r="AC182" s="180"/>
      <c r="AD182" s="180">
        <f t="shared" si="291"/>
        <v>1.217557251908397</v>
      </c>
      <c r="AE182" s="564">
        <f t="shared" si="292"/>
        <v>689.42044875457464</v>
      </c>
      <c r="AF182" s="547">
        <f t="shared" si="293"/>
        <v>3.6552440597785188E-2</v>
      </c>
      <c r="AH182" s="180">
        <f t="shared" si="294"/>
        <v>0.39916796581773056</v>
      </c>
      <c r="AI182" s="180">
        <f t="shared" si="295"/>
        <v>0.60095267175572509</v>
      </c>
      <c r="AJ182" s="180">
        <f t="shared" si="296"/>
        <v>1.4303353124116482</v>
      </c>
      <c r="AL182" s="564">
        <f t="shared" si="297"/>
        <v>72</v>
      </c>
      <c r="AM182" s="473">
        <f t="shared" si="298"/>
        <v>171.57592776596056</v>
      </c>
      <c r="AO182">
        <f t="shared" si="299"/>
        <v>72</v>
      </c>
      <c r="AP182">
        <f t="shared" si="300"/>
        <v>171.57592776596056</v>
      </c>
      <c r="AR182" s="5">
        <f t="shared" si="225"/>
        <v>5.8283234310354866</v>
      </c>
      <c r="AS182" s="5">
        <f t="shared" si="305"/>
        <v>3.3052396946564881</v>
      </c>
      <c r="AT182" s="5">
        <f t="shared" si="306"/>
        <v>2.5230837363789984</v>
      </c>
      <c r="AU182" s="180">
        <f t="shared" si="307"/>
        <v>0.5670995670995671</v>
      </c>
      <c r="AW182" s="5">
        <f t="shared" si="246"/>
        <v>3.7774167938931287</v>
      </c>
      <c r="AX182" s="5">
        <f t="shared" si="247"/>
        <v>1.586515053435114</v>
      </c>
      <c r="AY182" s="5">
        <f t="shared" si="248"/>
        <v>0.10596951692791788</v>
      </c>
      <c r="AZ182" s="5"/>
      <c r="BA182" s="180">
        <f t="shared" si="249"/>
        <v>0.26128188515748724</v>
      </c>
      <c r="BB182" s="180">
        <f t="shared" si="250"/>
        <v>0.1350406733204772</v>
      </c>
      <c r="BC182" s="180">
        <f t="shared" si="251"/>
        <v>0.13809780019502355</v>
      </c>
      <c r="BD182" s="180"/>
      <c r="BE182" s="547">
        <f t="shared" si="252"/>
        <v>2.3893878229007619E-2</v>
      </c>
      <c r="BF182" s="547">
        <f t="shared" si="253"/>
        <v>2.3818181818181822E-2</v>
      </c>
      <c r="BG182" s="547">
        <f t="shared" si="254"/>
        <v>2.1446990970745068E-3</v>
      </c>
      <c r="BH182" s="547">
        <f t="shared" si="255"/>
        <v>5.264391271873667E-3</v>
      </c>
      <c r="BI182">
        <f t="shared" si="256"/>
        <v>2.8999999999999998E-3</v>
      </c>
      <c r="BJ182" s="473">
        <f t="shared" si="257"/>
        <v>58.021150416137615</v>
      </c>
      <c r="BK182" s="180">
        <f t="shared" si="258"/>
        <v>2.5199999999999997E-2</v>
      </c>
      <c r="BL182" s="180">
        <f t="shared" si="259"/>
        <v>2.5199999999999997E-2</v>
      </c>
      <c r="BM182" s="547"/>
      <c r="BO182" s="473">
        <f t="shared" si="260"/>
        <v>50.399999999999991</v>
      </c>
      <c r="BP182" s="547">
        <f t="shared" si="261"/>
        <v>7.5095045862595376E-3</v>
      </c>
      <c r="BQ182" s="547">
        <f t="shared" si="262"/>
        <v>6.3825942077967452E-4</v>
      </c>
      <c r="BR182" s="547">
        <f t="shared" si="263"/>
        <v>5.7213007256113929E-4</v>
      </c>
      <c r="BS182" s="547">
        <f t="shared" si="264"/>
        <v>5.3977351343344471E-3</v>
      </c>
      <c r="BT182" s="657">
        <f t="shared" si="301"/>
        <v>6.1963636363636374E-2</v>
      </c>
      <c r="BU182" s="473">
        <f t="shared" si="265"/>
        <v>76.081265577571173</v>
      </c>
      <c r="BV182" s="180">
        <f t="shared" si="266"/>
        <v>0.18450241599370881</v>
      </c>
      <c r="BW182" s="5">
        <f t="shared" si="267"/>
        <v>1.5335999999999999</v>
      </c>
      <c r="BX182" s="180">
        <f t="shared" si="268"/>
        <v>0.89261267880413464</v>
      </c>
      <c r="BY182" s="5">
        <f t="shared" si="269"/>
        <v>89.26126788041347</v>
      </c>
      <c r="BZ182">
        <f t="shared" si="270"/>
        <v>71.999999999999986</v>
      </c>
      <c r="CB182" s="582">
        <f t="shared" si="302"/>
        <v>-50</v>
      </c>
      <c r="CC182">
        <f t="shared" si="303"/>
        <v>-50</v>
      </c>
    </row>
    <row r="183" spans="5:81" x14ac:dyDescent="0.25">
      <c r="E183" s="177">
        <v>73</v>
      </c>
      <c r="F183" s="224">
        <f t="shared" si="304"/>
        <v>7.2999999999999995E-2</v>
      </c>
      <c r="G183" s="224">
        <f t="shared" si="271"/>
        <v>7.2999999999999995E-2</v>
      </c>
      <c r="H183" s="224">
        <f t="shared" si="272"/>
        <v>0.45989999999999998</v>
      </c>
      <c r="I183" s="224">
        <f t="shared" si="273"/>
        <v>1.095</v>
      </c>
      <c r="J183" s="560">
        <f t="shared" si="274"/>
        <v>10</v>
      </c>
      <c r="K183" s="455">
        <f t="shared" si="275"/>
        <v>13.1</v>
      </c>
      <c r="L183" s="455">
        <f t="shared" si="276"/>
        <v>23.1</v>
      </c>
      <c r="M183" s="455"/>
      <c r="N183" s="224">
        <f t="shared" si="277"/>
        <v>0.5670995670995671</v>
      </c>
      <c r="O183" s="179">
        <f t="shared" si="278"/>
        <v>1.0944622279129324</v>
      </c>
      <c r="P183" s="179">
        <f t="shared" si="279"/>
        <v>2.6058624474117433</v>
      </c>
      <c r="Q183" s="224">
        <f t="shared" si="280"/>
        <v>0.17372416316078293</v>
      </c>
      <c r="R183" s="224">
        <f t="shared" si="281"/>
        <v>7.2964148527528819E-2</v>
      </c>
      <c r="S183" s="224">
        <f t="shared" si="282"/>
        <v>6.3</v>
      </c>
      <c r="T183" s="224">
        <f t="shared" si="283"/>
        <v>0.60929923664122132</v>
      </c>
      <c r="U183" s="224">
        <f t="shared" si="284"/>
        <v>3.3511458015267177</v>
      </c>
      <c r="V183" s="224">
        <f t="shared" si="285"/>
        <v>2.5581265660509298</v>
      </c>
      <c r="W183" s="204">
        <f t="shared" si="286"/>
        <v>350</v>
      </c>
      <c r="X183" s="455">
        <f t="shared" si="287"/>
        <v>169.22557259108433</v>
      </c>
      <c r="Z183" s="224">
        <f t="shared" si="288"/>
        <v>0.29459717771406085</v>
      </c>
      <c r="AA183" s="180">
        <f t="shared" si="289"/>
        <v>1.2368583797155226</v>
      </c>
      <c r="AB183" s="180">
        <f t="shared" si="290"/>
        <v>3.7720509310379111E-2</v>
      </c>
      <c r="AC183" s="180"/>
      <c r="AD183" s="180">
        <f t="shared" si="291"/>
        <v>1.217557251908397</v>
      </c>
      <c r="AE183" s="564">
        <f t="shared" si="292"/>
        <v>698.99573276505487</v>
      </c>
      <c r="AF183" s="547">
        <f t="shared" si="293"/>
        <v>3.6552440597785188E-2</v>
      </c>
      <c r="AH183" s="180">
        <f t="shared" si="294"/>
        <v>0.40193040684682213</v>
      </c>
      <c r="AI183" s="180">
        <f t="shared" si="295"/>
        <v>0.60929923664122132</v>
      </c>
      <c r="AJ183" s="180">
        <f t="shared" si="296"/>
        <v>1.4365179530675714</v>
      </c>
      <c r="AL183" s="564">
        <f t="shared" si="297"/>
        <v>73</v>
      </c>
      <c r="AM183" s="473">
        <f t="shared" si="298"/>
        <v>169.22557259108433</v>
      </c>
      <c r="AO183">
        <f t="shared" si="299"/>
        <v>73</v>
      </c>
      <c r="AP183">
        <f t="shared" si="300"/>
        <v>169.22557259108433</v>
      </c>
      <c r="AR183" s="5">
        <f t="shared" si="225"/>
        <v>5.909272367577648</v>
      </c>
      <c r="AS183" s="5">
        <f t="shared" si="305"/>
        <v>3.3511458015267177</v>
      </c>
      <c r="AT183" s="5">
        <f t="shared" si="306"/>
        <v>2.5581265660509303</v>
      </c>
      <c r="AU183" s="180">
        <f t="shared" si="307"/>
        <v>0.56709956709956699</v>
      </c>
      <c r="AW183" s="5">
        <f t="shared" si="246"/>
        <v>3.8830737065309582</v>
      </c>
      <c r="AX183" s="5">
        <f t="shared" si="247"/>
        <v>1.6308909567430023</v>
      </c>
      <c r="AY183" s="5">
        <f t="shared" si="248"/>
        <v>0.10893355627100208</v>
      </c>
      <c r="AZ183" s="5"/>
      <c r="BA183" s="180">
        <f t="shared" si="249"/>
        <v>0.264910800229119</v>
      </c>
      <c r="BB183" s="180">
        <f t="shared" si="250"/>
        <v>0.1369162382277061</v>
      </c>
      <c r="BC183" s="180">
        <f t="shared" si="251"/>
        <v>0.14001582519773226</v>
      </c>
      <c r="BD183" s="180"/>
      <c r="BE183" s="547">
        <f t="shared" si="252"/>
        <v>2.4562206227311267E-2</v>
      </c>
      <c r="BF183" s="547">
        <f t="shared" si="253"/>
        <v>2.3818181818181818E-2</v>
      </c>
      <c r="BG183" s="547">
        <f t="shared" si="254"/>
        <v>2.1153196573885538E-3</v>
      </c>
      <c r="BH183" s="547">
        <f t="shared" si="255"/>
        <v>5.1922763229438895E-3</v>
      </c>
      <c r="BI183">
        <f t="shared" si="256"/>
        <v>2.8999999999999998E-3</v>
      </c>
      <c r="BJ183" s="473">
        <f t="shared" si="257"/>
        <v>58.587984025825527</v>
      </c>
      <c r="BK183" s="180">
        <f t="shared" si="258"/>
        <v>2.5549999999999996E-2</v>
      </c>
      <c r="BL183" s="180">
        <f t="shared" si="259"/>
        <v>2.5549999999999996E-2</v>
      </c>
      <c r="BM183" s="547"/>
      <c r="BO183" s="473">
        <f t="shared" si="260"/>
        <v>51.099999999999994</v>
      </c>
      <c r="BP183" s="547">
        <f t="shared" si="261"/>
        <v>7.7195505285835419E-3</v>
      </c>
      <c r="BQ183" s="547">
        <f t="shared" si="262"/>
        <v>6.5611197016490893E-4</v>
      </c>
      <c r="BR183" s="547">
        <f t="shared" si="263"/>
        <v>5.8813293917405753E-4</v>
      </c>
      <c r="BS183" s="547">
        <f t="shared" si="264"/>
        <v>5.3977351343344497E-3</v>
      </c>
      <c r="BT183" s="657">
        <f t="shared" si="301"/>
        <v>6.2824242424242421E-2</v>
      </c>
      <c r="BU183" s="473">
        <f t="shared" si="265"/>
        <v>77.185772996499381</v>
      </c>
      <c r="BV183" s="180">
        <f t="shared" si="266"/>
        <v>0.18687375702232489</v>
      </c>
      <c r="BW183" s="5">
        <f t="shared" si="267"/>
        <v>1.5548999999999999</v>
      </c>
      <c r="BX183" s="180">
        <f t="shared" si="268"/>
        <v>0.89271065988398079</v>
      </c>
      <c r="BY183" s="5">
        <f t="shared" si="269"/>
        <v>89.271065988398078</v>
      </c>
      <c r="BZ183">
        <f t="shared" si="270"/>
        <v>72.999999999999986</v>
      </c>
      <c r="CB183" s="582">
        <f t="shared" si="302"/>
        <v>-50</v>
      </c>
      <c r="CC183">
        <f t="shared" si="303"/>
        <v>-50</v>
      </c>
    </row>
    <row r="184" spans="5:81" x14ac:dyDescent="0.25">
      <c r="E184" s="177">
        <v>74</v>
      </c>
      <c r="F184" s="224">
        <f t="shared" si="304"/>
        <v>7.3999999999999996E-2</v>
      </c>
      <c r="G184" s="224">
        <f t="shared" si="271"/>
        <v>7.3999999999999996E-2</v>
      </c>
      <c r="H184" s="224">
        <f t="shared" si="272"/>
        <v>0.46619999999999995</v>
      </c>
      <c r="I184" s="224">
        <f t="shared" si="273"/>
        <v>1.1099999999999999</v>
      </c>
      <c r="J184" s="560">
        <f t="shared" si="274"/>
        <v>10</v>
      </c>
      <c r="K184" s="455">
        <f t="shared" si="275"/>
        <v>13.1</v>
      </c>
      <c r="L184" s="455">
        <f t="shared" si="276"/>
        <v>23.1</v>
      </c>
      <c r="M184" s="455"/>
      <c r="N184" s="224">
        <f t="shared" si="277"/>
        <v>0.5670995670995671</v>
      </c>
      <c r="O184" s="179">
        <f t="shared" si="278"/>
        <v>1.0944622279129324</v>
      </c>
      <c r="P184" s="179">
        <f t="shared" si="279"/>
        <v>2.6058624474117433</v>
      </c>
      <c r="Q184" s="224">
        <f t="shared" si="280"/>
        <v>0.17372416316078293</v>
      </c>
      <c r="R184" s="224">
        <f t="shared" si="281"/>
        <v>7.2964148527528819E-2</v>
      </c>
      <c r="S184" s="224">
        <f t="shared" si="282"/>
        <v>6.3</v>
      </c>
      <c r="T184" s="224">
        <f t="shared" si="283"/>
        <v>0.61764580152671744</v>
      </c>
      <c r="U184" s="224">
        <f t="shared" si="284"/>
        <v>3.3970519083969459</v>
      </c>
      <c r="V184" s="224">
        <f t="shared" si="285"/>
        <v>2.5931693957228599</v>
      </c>
      <c r="W184" s="204">
        <f t="shared" si="286"/>
        <v>350</v>
      </c>
      <c r="X184" s="455">
        <f t="shared" si="287"/>
        <v>166.93874052904269</v>
      </c>
      <c r="Z184" s="224">
        <f t="shared" si="288"/>
        <v>0.29459717771406085</v>
      </c>
      <c r="AA184" s="180">
        <f t="shared" si="289"/>
        <v>1.2368583797155226</v>
      </c>
      <c r="AB184" s="180">
        <f t="shared" si="290"/>
        <v>3.7720509310379111E-2</v>
      </c>
      <c r="AC184" s="180"/>
      <c r="AD184" s="180">
        <f t="shared" si="291"/>
        <v>1.217557251908397</v>
      </c>
      <c r="AE184" s="564">
        <f t="shared" si="292"/>
        <v>708.5710167755351</v>
      </c>
      <c r="AF184" s="547">
        <f t="shared" si="293"/>
        <v>3.6552440597785188E-2</v>
      </c>
      <c r="AH184" s="180">
        <f t="shared" si="294"/>
        <v>0.40467399096190865</v>
      </c>
      <c r="AI184" s="180">
        <f t="shared" si="295"/>
        <v>0.61764580152671744</v>
      </c>
      <c r="AJ184" s="180">
        <f t="shared" si="296"/>
        <v>1.4427005937234945</v>
      </c>
      <c r="AL184" s="564">
        <f t="shared" si="297"/>
        <v>74</v>
      </c>
      <c r="AM184" s="473">
        <f t="shared" si="298"/>
        <v>166.93874052904269</v>
      </c>
      <c r="AO184">
        <f t="shared" si="299"/>
        <v>74</v>
      </c>
      <c r="AP184">
        <f t="shared" si="300"/>
        <v>166.93874052904269</v>
      </c>
      <c r="AR184" s="5">
        <f t="shared" si="225"/>
        <v>5.9902213041198058</v>
      </c>
      <c r="AS184" s="5">
        <f t="shared" si="305"/>
        <v>3.3970519083969459</v>
      </c>
      <c r="AT184" s="5">
        <f t="shared" si="306"/>
        <v>2.5931693957228599</v>
      </c>
      <c r="AU184" s="180">
        <f t="shared" si="307"/>
        <v>0.5670995670995671</v>
      </c>
      <c r="AW184" s="5">
        <f t="shared" si="246"/>
        <v>3.9901879558948252</v>
      </c>
      <c r="AX184" s="5">
        <f t="shared" si="247"/>
        <v>1.6758789414758266</v>
      </c>
      <c r="AY184" s="5">
        <f t="shared" si="248"/>
        <v>0.11193847891537009</v>
      </c>
      <c r="AZ184" s="5"/>
      <c r="BA184" s="180">
        <f t="shared" si="249"/>
        <v>0.26853971530075077</v>
      </c>
      <c r="BB184" s="180">
        <f t="shared" si="250"/>
        <v>0.13879180313493492</v>
      </c>
      <c r="BC184" s="180">
        <f t="shared" si="251"/>
        <v>0.14193385020044086</v>
      </c>
      <c r="BD184" s="180"/>
      <c r="BE184" s="547">
        <f t="shared" si="252"/>
        <v>2.5239752542832894E-2</v>
      </c>
      <c r="BF184" s="547">
        <f t="shared" si="253"/>
        <v>2.3818181818181818E-2</v>
      </c>
      <c r="BG184" s="547">
        <f t="shared" si="254"/>
        <v>2.0867342566130332E-3</v>
      </c>
      <c r="BH184" s="547">
        <f t="shared" si="255"/>
        <v>5.1221104266878916E-3</v>
      </c>
      <c r="BI184">
        <f t="shared" si="256"/>
        <v>2.8999999999999998E-3</v>
      </c>
      <c r="BJ184" s="473">
        <f t="shared" si="257"/>
        <v>59.166779044315646</v>
      </c>
      <c r="BK184" s="180">
        <f t="shared" si="258"/>
        <v>2.5899999999999996E-2</v>
      </c>
      <c r="BL184" s="180">
        <f t="shared" si="259"/>
        <v>2.5899999999999996E-2</v>
      </c>
      <c r="BM184" s="547"/>
      <c r="BO184" s="473">
        <f t="shared" si="260"/>
        <v>51.79999999999999</v>
      </c>
      <c r="BP184" s="547">
        <f t="shared" si="261"/>
        <v>7.9324936563189095E-3</v>
      </c>
      <c r="BQ184" s="547">
        <f t="shared" si="262"/>
        <v>6.7421076161062869E-4</v>
      </c>
      <c r="BR184" s="547">
        <f t="shared" si="263"/>
        <v>6.0435653498163561E-4</v>
      </c>
      <c r="BS184" s="547">
        <f t="shared" si="264"/>
        <v>5.3977351343344566E-3</v>
      </c>
      <c r="BT184" s="657">
        <f t="shared" si="301"/>
        <v>6.3684848484848483E-2</v>
      </c>
      <c r="BU184" s="473">
        <f t="shared" si="265"/>
        <v>78.293644572094124</v>
      </c>
      <c r="BV184" s="180">
        <f t="shared" si="266"/>
        <v>0.18926042361640974</v>
      </c>
      <c r="BW184" s="5">
        <f t="shared" si="267"/>
        <v>1.5761999999999998</v>
      </c>
      <c r="BX184" s="180">
        <f t="shared" si="268"/>
        <v>0.89279826322658407</v>
      </c>
      <c r="BY184" s="5">
        <f t="shared" si="269"/>
        <v>89.279826322658408</v>
      </c>
      <c r="BZ184">
        <f t="shared" si="270"/>
        <v>73.999999999999986</v>
      </c>
      <c r="CB184" s="582">
        <f t="shared" si="302"/>
        <v>-50</v>
      </c>
      <c r="CC184">
        <f t="shared" si="303"/>
        <v>-50</v>
      </c>
    </row>
    <row r="185" spans="5:81" x14ac:dyDescent="0.25">
      <c r="E185" s="177">
        <v>75</v>
      </c>
      <c r="F185" s="224">
        <f t="shared" si="304"/>
        <v>7.5000000000000011E-2</v>
      </c>
      <c r="G185" s="224">
        <f t="shared" si="271"/>
        <v>7.5000000000000011E-2</v>
      </c>
      <c r="H185" s="224">
        <f t="shared" si="272"/>
        <v>0.47250000000000003</v>
      </c>
      <c r="I185" s="224">
        <f t="shared" si="273"/>
        <v>1.1250000000000002</v>
      </c>
      <c r="J185" s="560">
        <f t="shared" si="274"/>
        <v>10</v>
      </c>
      <c r="K185" s="455">
        <f t="shared" si="275"/>
        <v>13.1</v>
      </c>
      <c r="L185" s="455">
        <f t="shared" si="276"/>
        <v>23.1</v>
      </c>
      <c r="M185" s="455"/>
      <c r="N185" s="224">
        <f t="shared" si="277"/>
        <v>0.5670995670995671</v>
      </c>
      <c r="O185" s="179">
        <f t="shared" si="278"/>
        <v>1.0944622279129324</v>
      </c>
      <c r="P185" s="179">
        <f t="shared" si="279"/>
        <v>2.6058624474117433</v>
      </c>
      <c r="Q185" s="224">
        <f t="shared" si="280"/>
        <v>0.17372416316078293</v>
      </c>
      <c r="R185" s="224">
        <f t="shared" si="281"/>
        <v>7.2964148527528819E-2</v>
      </c>
      <c r="S185" s="224">
        <f t="shared" si="282"/>
        <v>6.3</v>
      </c>
      <c r="T185" s="224">
        <f t="shared" si="283"/>
        <v>0.62599236641221379</v>
      </c>
      <c r="U185" s="224">
        <f t="shared" si="284"/>
        <v>3.4429580152671759</v>
      </c>
      <c r="V185" s="224">
        <f t="shared" si="285"/>
        <v>2.6282122253947908</v>
      </c>
      <c r="W185" s="204">
        <f t="shared" si="286"/>
        <v>350</v>
      </c>
      <c r="X185" s="455">
        <f t="shared" si="287"/>
        <v>164.71289065532207</v>
      </c>
      <c r="Z185" s="224">
        <f t="shared" si="288"/>
        <v>0.29459717771406085</v>
      </c>
      <c r="AA185" s="180">
        <f t="shared" si="289"/>
        <v>1.2368583797155226</v>
      </c>
      <c r="AB185" s="180">
        <f t="shared" si="290"/>
        <v>3.7720509310379111E-2</v>
      </c>
      <c r="AC185" s="180"/>
      <c r="AD185" s="180">
        <f t="shared" si="291"/>
        <v>1.217557251908397</v>
      </c>
      <c r="AE185" s="564">
        <f t="shared" si="292"/>
        <v>718.14630078601533</v>
      </c>
      <c r="AF185" s="547">
        <f t="shared" si="293"/>
        <v>3.6552440597785188E-2</v>
      </c>
      <c r="AH185" s="180">
        <f t="shared" si="294"/>
        <v>0.40739909913256556</v>
      </c>
      <c r="AI185" s="180">
        <f t="shared" si="295"/>
        <v>0.62599236641221379</v>
      </c>
      <c r="AJ185" s="180">
        <f t="shared" si="296"/>
        <v>1.4488832343794176</v>
      </c>
      <c r="AL185" s="564">
        <f t="shared" si="297"/>
        <v>75.000000000000014</v>
      </c>
      <c r="AM185" s="473">
        <f t="shared" si="298"/>
        <v>164.71289065532207</v>
      </c>
      <c r="AO185">
        <f t="shared" si="299"/>
        <v>75.000000000000014</v>
      </c>
      <c r="AP185">
        <f t="shared" si="300"/>
        <v>164.71289065532207</v>
      </c>
      <c r="AR185" s="5">
        <f t="shared" si="225"/>
        <v>6.0711702406619681</v>
      </c>
      <c r="AS185" s="5">
        <f t="shared" si="305"/>
        <v>3.4429580152671759</v>
      </c>
      <c r="AT185" s="5">
        <f t="shared" si="306"/>
        <v>2.6282122253947922</v>
      </c>
      <c r="AU185" s="180">
        <f t="shared" si="307"/>
        <v>0.56709956709956699</v>
      </c>
      <c r="AW185" s="5">
        <f t="shared" si="246"/>
        <v>4.0987595419847338</v>
      </c>
      <c r="AX185" s="5">
        <f t="shared" si="247"/>
        <v>1.7214790076335882</v>
      </c>
      <c r="AY185" s="5">
        <f t="shared" si="248"/>
        <v>0.11498428486102215</v>
      </c>
      <c r="AZ185" s="5"/>
      <c r="BA185" s="180">
        <f t="shared" si="249"/>
        <v>0.27216863037238259</v>
      </c>
      <c r="BB185" s="180">
        <f t="shared" si="250"/>
        <v>0.14066736804216382</v>
      </c>
      <c r="BC185" s="180">
        <f t="shared" si="251"/>
        <v>0.14385187520314957</v>
      </c>
      <c r="BD185" s="180"/>
      <c r="BE185" s="547">
        <f t="shared" si="252"/>
        <v>2.5926517175572514E-2</v>
      </c>
      <c r="BF185" s="547">
        <f t="shared" si="253"/>
        <v>2.3818181818181818E-2</v>
      </c>
      <c r="BG185" s="547">
        <f t="shared" si="254"/>
        <v>2.058911133191526E-3</v>
      </c>
      <c r="BH185" s="547">
        <f t="shared" si="255"/>
        <v>5.0538156209987183E-3</v>
      </c>
      <c r="BI185">
        <f t="shared" si="256"/>
        <v>2.8999999999999998E-3</v>
      </c>
      <c r="BJ185" s="473">
        <f t="shared" si="257"/>
        <v>59.757425747944581</v>
      </c>
      <c r="BK185" s="180">
        <f t="shared" si="258"/>
        <v>2.6250000000000002E-2</v>
      </c>
      <c r="BL185" s="180">
        <f t="shared" si="259"/>
        <v>2.6250000000000002E-2</v>
      </c>
      <c r="BM185" s="547"/>
      <c r="BO185" s="473">
        <f t="shared" si="260"/>
        <v>52.500000000000007</v>
      </c>
      <c r="BP185" s="547">
        <f t="shared" si="261"/>
        <v>8.148333969465649E-3</v>
      </c>
      <c r="BQ185" s="547">
        <f t="shared" si="262"/>
        <v>6.9255579511683508E-4</v>
      </c>
      <c r="BR185" s="547">
        <f t="shared" si="263"/>
        <v>6.2080085998387547E-4</v>
      </c>
      <c r="BS185" s="547">
        <f t="shared" si="264"/>
        <v>5.3977351343344575E-3</v>
      </c>
      <c r="BT185" s="657">
        <f t="shared" si="301"/>
        <v>6.4545454545454559E-2</v>
      </c>
      <c r="BU185" s="473">
        <f t="shared" si="265"/>
        <v>79.404880304355373</v>
      </c>
      <c r="BV185" s="180">
        <f t="shared" si="266"/>
        <v>0.19166230605229995</v>
      </c>
      <c r="BW185" s="5">
        <f t="shared" si="267"/>
        <v>1.5975000000000001</v>
      </c>
      <c r="BX185" s="180">
        <f t="shared" si="268"/>
        <v>0.89287595350966587</v>
      </c>
      <c r="BY185" s="5">
        <f t="shared" si="269"/>
        <v>89.287595350966583</v>
      </c>
      <c r="BZ185">
        <f t="shared" si="270"/>
        <v>75.000000000000014</v>
      </c>
      <c r="CB185" s="582">
        <f t="shared" si="302"/>
        <v>-50</v>
      </c>
      <c r="CC185">
        <f t="shared" si="303"/>
        <v>-50</v>
      </c>
    </row>
    <row r="186" spans="5:81" x14ac:dyDescent="0.25">
      <c r="E186" s="177">
        <v>76</v>
      </c>
      <c r="F186" s="224">
        <f t="shared" si="304"/>
        <v>7.6000000000000012E-2</v>
      </c>
      <c r="G186" s="224">
        <f t="shared" si="271"/>
        <v>7.6000000000000012E-2</v>
      </c>
      <c r="H186" s="224">
        <f t="shared" si="272"/>
        <v>0.47880000000000006</v>
      </c>
      <c r="I186" s="224">
        <f t="shared" si="273"/>
        <v>1.1400000000000001</v>
      </c>
      <c r="J186" s="560">
        <f t="shared" si="274"/>
        <v>10</v>
      </c>
      <c r="K186" s="455">
        <f t="shared" si="275"/>
        <v>13.1</v>
      </c>
      <c r="L186" s="455">
        <f t="shared" si="276"/>
        <v>23.1</v>
      </c>
      <c r="M186" s="455"/>
      <c r="N186" s="224">
        <f t="shared" si="277"/>
        <v>0.5670995670995671</v>
      </c>
      <c r="O186" s="179">
        <f t="shared" si="278"/>
        <v>1.0944622279129324</v>
      </c>
      <c r="P186" s="179">
        <f t="shared" si="279"/>
        <v>2.6058624474117433</v>
      </c>
      <c r="Q186" s="224">
        <f t="shared" si="280"/>
        <v>0.17372416316078293</v>
      </c>
      <c r="R186" s="224">
        <f t="shared" si="281"/>
        <v>7.2964148527528819E-2</v>
      </c>
      <c r="S186" s="224">
        <f t="shared" si="282"/>
        <v>6.3</v>
      </c>
      <c r="T186" s="224">
        <f t="shared" si="283"/>
        <v>0.63433893129771002</v>
      </c>
      <c r="U186" s="224">
        <f t="shared" si="284"/>
        <v>3.4888641221374055</v>
      </c>
      <c r="V186" s="224">
        <f t="shared" si="285"/>
        <v>2.6632550550667218</v>
      </c>
      <c r="W186" s="204">
        <f t="shared" si="286"/>
        <v>350</v>
      </c>
      <c r="X186" s="455">
        <f t="shared" si="287"/>
        <v>162.54561577827835</v>
      </c>
      <c r="Z186" s="224">
        <f t="shared" si="288"/>
        <v>0.29459717771406085</v>
      </c>
      <c r="AA186" s="180">
        <f t="shared" si="289"/>
        <v>1.2368583797155226</v>
      </c>
      <c r="AB186" s="180">
        <f t="shared" si="290"/>
        <v>3.7720509310379111E-2</v>
      </c>
      <c r="AC186" s="180"/>
      <c r="AD186" s="180">
        <f t="shared" si="291"/>
        <v>1.217557251908397</v>
      </c>
      <c r="AE186" s="564">
        <f t="shared" si="292"/>
        <v>727.72158479649556</v>
      </c>
      <c r="AF186" s="547">
        <f t="shared" si="293"/>
        <v>3.6552440597785188E-2</v>
      </c>
      <c r="AH186" s="180">
        <f t="shared" si="294"/>
        <v>0.41010609967057676</v>
      </c>
      <c r="AI186" s="180">
        <f t="shared" si="295"/>
        <v>0.63433893129771002</v>
      </c>
      <c r="AJ186" s="180">
        <f t="shared" si="296"/>
        <v>1.4550658750353407</v>
      </c>
      <c r="AL186" s="564">
        <f t="shared" si="297"/>
        <v>76.000000000000014</v>
      </c>
      <c r="AM186" s="473">
        <f t="shared" si="298"/>
        <v>162.54561577827835</v>
      </c>
      <c r="AO186">
        <f t="shared" si="299"/>
        <v>76.000000000000014</v>
      </c>
      <c r="AP186">
        <f t="shared" si="300"/>
        <v>162.54561577827835</v>
      </c>
      <c r="AR186" s="5">
        <f t="shared" si="225"/>
        <v>6.1521191772041277</v>
      </c>
      <c r="AS186" s="5">
        <f t="shared" si="305"/>
        <v>3.4888641221374055</v>
      </c>
      <c r="AT186" s="5">
        <f t="shared" si="306"/>
        <v>2.6632550550667222</v>
      </c>
      <c r="AU186" s="180">
        <f t="shared" si="307"/>
        <v>0.5670995670995671</v>
      </c>
      <c r="AW186" s="5">
        <f t="shared" si="246"/>
        <v>4.2087884648006799</v>
      </c>
      <c r="AX186" s="5">
        <f t="shared" si="247"/>
        <v>1.7676911552162859</v>
      </c>
      <c r="AY186" s="5">
        <f t="shared" si="248"/>
        <v>0.11807097410795801</v>
      </c>
      <c r="AZ186" s="5"/>
      <c r="BA186" s="180">
        <f t="shared" si="249"/>
        <v>0.27579754544401441</v>
      </c>
      <c r="BB186" s="180">
        <f t="shared" si="250"/>
        <v>0.14254293294939266</v>
      </c>
      <c r="BC186" s="180">
        <f t="shared" si="251"/>
        <v>0.14576990020585823</v>
      </c>
      <c r="BD186" s="180"/>
      <c r="BE186" s="547">
        <f t="shared" si="252"/>
        <v>2.6622500125530118E-2</v>
      </c>
      <c r="BF186" s="547">
        <f t="shared" si="253"/>
        <v>2.3818181818181818E-2</v>
      </c>
      <c r="BG186" s="547">
        <f t="shared" si="254"/>
        <v>2.0318201972284794E-3</v>
      </c>
      <c r="BH186" s="547">
        <f t="shared" si="255"/>
        <v>4.9873180470382085E-3</v>
      </c>
      <c r="BI186">
        <f t="shared" si="256"/>
        <v>2.8999999999999998E-3</v>
      </c>
      <c r="BJ186" s="473">
        <f t="shared" si="257"/>
        <v>60.359820187978627</v>
      </c>
      <c r="BK186" s="180">
        <f t="shared" si="258"/>
        <v>2.6600000000000002E-2</v>
      </c>
      <c r="BL186" s="180">
        <f t="shared" si="259"/>
        <v>2.6600000000000002E-2</v>
      </c>
      <c r="BM186" s="547"/>
      <c r="BO186" s="473">
        <f t="shared" si="260"/>
        <v>53.2</v>
      </c>
      <c r="BP186" s="547">
        <f t="shared" si="261"/>
        <v>8.3670714680237519E-3</v>
      </c>
      <c r="BQ186" s="547">
        <f t="shared" si="262"/>
        <v>7.1114707068352682E-4</v>
      </c>
      <c r="BR186" s="547">
        <f t="shared" si="263"/>
        <v>6.3746591418077604E-4</v>
      </c>
      <c r="BS186" s="547">
        <f t="shared" si="264"/>
        <v>5.3977351343344505E-3</v>
      </c>
      <c r="BT186" s="657">
        <f t="shared" si="301"/>
        <v>6.540606060606062E-2</v>
      </c>
      <c r="BU186" s="473">
        <f t="shared" si="265"/>
        <v>80.51948019328313</v>
      </c>
      <c r="BV186" s="180">
        <f t="shared" si="266"/>
        <v>0.19407930038126175</v>
      </c>
      <c r="BW186" s="5">
        <f t="shared" si="267"/>
        <v>1.6188000000000002</v>
      </c>
      <c r="BX186" s="180">
        <f t="shared" si="268"/>
        <v>0.89294416879245886</v>
      </c>
      <c r="BY186" s="5">
        <f t="shared" si="269"/>
        <v>89.294416879245887</v>
      </c>
      <c r="BZ186">
        <f t="shared" si="270"/>
        <v>76.000000000000014</v>
      </c>
      <c r="CB186" s="582">
        <f t="shared" si="302"/>
        <v>-50</v>
      </c>
      <c r="CC186">
        <f t="shared" si="303"/>
        <v>-50</v>
      </c>
    </row>
    <row r="187" spans="5:81" x14ac:dyDescent="0.25">
      <c r="E187" s="177">
        <v>77</v>
      </c>
      <c r="F187" s="224">
        <f t="shared" si="304"/>
        <v>7.7000000000000013E-2</v>
      </c>
      <c r="G187" s="224">
        <f t="shared" si="271"/>
        <v>7.7000000000000013E-2</v>
      </c>
      <c r="H187" s="224">
        <f t="shared" si="272"/>
        <v>0.48510000000000009</v>
      </c>
      <c r="I187" s="224">
        <f t="shared" si="273"/>
        <v>1.1550000000000002</v>
      </c>
      <c r="J187" s="560">
        <f t="shared" si="274"/>
        <v>10</v>
      </c>
      <c r="K187" s="455">
        <f t="shared" si="275"/>
        <v>13.1</v>
      </c>
      <c r="L187" s="455">
        <f t="shared" si="276"/>
        <v>23.1</v>
      </c>
      <c r="M187" s="455"/>
      <c r="N187" s="224">
        <f t="shared" si="277"/>
        <v>0.5670995670995671</v>
      </c>
      <c r="O187" s="179">
        <f t="shared" si="278"/>
        <v>1.0944622279129324</v>
      </c>
      <c r="P187" s="179">
        <f t="shared" si="279"/>
        <v>2.6058624474117433</v>
      </c>
      <c r="Q187" s="224">
        <f t="shared" si="280"/>
        <v>0.17372416316078293</v>
      </c>
      <c r="R187" s="224">
        <f t="shared" si="281"/>
        <v>7.2964148527528819E-2</v>
      </c>
      <c r="S187" s="224">
        <f t="shared" si="282"/>
        <v>6.3</v>
      </c>
      <c r="T187" s="224">
        <f t="shared" si="283"/>
        <v>0.64268549618320625</v>
      </c>
      <c r="U187" s="224">
        <f t="shared" si="284"/>
        <v>3.5347702290076346</v>
      </c>
      <c r="V187" s="224">
        <f t="shared" si="285"/>
        <v>2.6982978847386527</v>
      </c>
      <c r="W187" s="204">
        <f t="shared" si="286"/>
        <v>350</v>
      </c>
      <c r="X187" s="455">
        <f t="shared" si="287"/>
        <v>160.43463375518382</v>
      </c>
      <c r="Z187" s="224">
        <f t="shared" si="288"/>
        <v>0.29459717771406085</v>
      </c>
      <c r="AA187" s="180">
        <f t="shared" si="289"/>
        <v>1.2368583797155226</v>
      </c>
      <c r="AB187" s="180">
        <f t="shared" si="290"/>
        <v>3.7720509310379111E-2</v>
      </c>
      <c r="AC187" s="180"/>
      <c r="AD187" s="180">
        <f t="shared" si="291"/>
        <v>1.217557251908397</v>
      </c>
      <c r="AE187" s="564">
        <f t="shared" si="292"/>
        <v>737.29686880697579</v>
      </c>
      <c r="AF187" s="547">
        <f t="shared" si="293"/>
        <v>3.6552440597785188E-2</v>
      </c>
      <c r="AH187" s="180">
        <f t="shared" si="294"/>
        <v>0.41279534881100588</v>
      </c>
      <c r="AI187" s="180">
        <f t="shared" si="295"/>
        <v>0.64268549618320625</v>
      </c>
      <c r="AJ187" s="180">
        <f t="shared" si="296"/>
        <v>1.4612485156912638</v>
      </c>
      <c r="AL187" s="564">
        <f t="shared" si="297"/>
        <v>77.000000000000014</v>
      </c>
      <c r="AM187" s="473">
        <f t="shared" si="298"/>
        <v>160.43463375518382</v>
      </c>
      <c r="AO187">
        <f t="shared" si="299"/>
        <v>77.000000000000014</v>
      </c>
      <c r="AP187">
        <f t="shared" si="300"/>
        <v>160.43463375518382</v>
      </c>
      <c r="AR187" s="5">
        <f t="shared" si="225"/>
        <v>6.2330681137462873</v>
      </c>
      <c r="AS187" s="5">
        <f t="shared" si="305"/>
        <v>3.5347702290076346</v>
      </c>
      <c r="AT187" s="5">
        <f t="shared" si="306"/>
        <v>2.6982978847386527</v>
      </c>
      <c r="AU187" s="180">
        <f t="shared" si="307"/>
        <v>0.5670995670995671</v>
      </c>
      <c r="AW187" s="5">
        <f t="shared" si="246"/>
        <v>4.3202747243426645</v>
      </c>
      <c r="AX187" s="5">
        <f t="shared" si="247"/>
        <v>1.8145153842239192</v>
      </c>
      <c r="AY187" s="5">
        <f t="shared" si="248"/>
        <v>0.12119854665617781</v>
      </c>
      <c r="AZ187" s="5"/>
      <c r="BA187" s="180">
        <f t="shared" si="249"/>
        <v>0.27942646051564618</v>
      </c>
      <c r="BB187" s="180">
        <f t="shared" si="250"/>
        <v>0.1444184978566215</v>
      </c>
      <c r="BC187" s="180">
        <f t="shared" si="251"/>
        <v>0.14768792520856691</v>
      </c>
      <c r="BD187" s="180"/>
      <c r="BE187" s="547">
        <f t="shared" si="252"/>
        <v>2.732770139270569E-2</v>
      </c>
      <c r="BF187" s="547">
        <f t="shared" si="253"/>
        <v>2.3818181818181822E-2</v>
      </c>
      <c r="BG187" s="547">
        <f t="shared" si="254"/>
        <v>2.0054329219397976E-3</v>
      </c>
      <c r="BH187" s="547">
        <f t="shared" si="255"/>
        <v>4.9225476827909594E-3</v>
      </c>
      <c r="BI187">
        <f t="shared" si="256"/>
        <v>2.8999999999999998E-3</v>
      </c>
      <c r="BJ187" s="473">
        <f t="shared" si="257"/>
        <v>60.973863815618273</v>
      </c>
      <c r="BK187" s="180">
        <f t="shared" si="258"/>
        <v>2.6950000000000002E-2</v>
      </c>
      <c r="BL187" s="180">
        <f t="shared" si="259"/>
        <v>2.6950000000000002E-2</v>
      </c>
      <c r="BM187" s="547"/>
      <c r="BO187" s="473">
        <f t="shared" si="260"/>
        <v>53.900000000000006</v>
      </c>
      <c r="BP187" s="547">
        <f t="shared" si="261"/>
        <v>8.5887061519932164E-3</v>
      </c>
      <c r="BQ187" s="547">
        <f t="shared" si="262"/>
        <v>7.2998458831070477E-4</v>
      </c>
      <c r="BR187" s="547">
        <f t="shared" si="263"/>
        <v>6.5435169757233752E-4</v>
      </c>
      <c r="BS187" s="547">
        <f t="shared" si="264"/>
        <v>5.3977351343344523E-3</v>
      </c>
      <c r="BT187" s="657">
        <f t="shared" si="301"/>
        <v>6.6266666666666682E-2</v>
      </c>
      <c r="BU187" s="473">
        <f t="shared" si="265"/>
        <v>81.637444238877393</v>
      </c>
      <c r="BV187" s="180">
        <f t="shared" si="266"/>
        <v>0.19651130805449568</v>
      </c>
      <c r="BW187" s="5">
        <f t="shared" si="267"/>
        <v>1.6401000000000003</v>
      </c>
      <c r="BX187" s="180">
        <f t="shared" si="268"/>
        <v>0.89300332237273539</v>
      </c>
      <c r="BY187" s="5">
        <f t="shared" si="269"/>
        <v>89.300332237273537</v>
      </c>
      <c r="BZ187">
        <f t="shared" si="270"/>
        <v>77.000000000000014</v>
      </c>
      <c r="CB187" s="582">
        <f t="shared" si="302"/>
        <v>-50</v>
      </c>
      <c r="CC187">
        <f t="shared" si="303"/>
        <v>-50</v>
      </c>
    </row>
    <row r="188" spans="5:81" x14ac:dyDescent="0.25">
      <c r="E188" s="177">
        <v>78</v>
      </c>
      <c r="F188" s="224">
        <f t="shared" si="304"/>
        <v>7.8000000000000014E-2</v>
      </c>
      <c r="G188" s="224">
        <f t="shared" si="271"/>
        <v>7.8000000000000014E-2</v>
      </c>
      <c r="H188" s="224">
        <f t="shared" si="272"/>
        <v>0.49140000000000006</v>
      </c>
      <c r="I188" s="224">
        <f t="shared" si="273"/>
        <v>1.1700000000000002</v>
      </c>
      <c r="J188" s="560">
        <f t="shared" si="274"/>
        <v>10</v>
      </c>
      <c r="K188" s="455">
        <f t="shared" si="275"/>
        <v>13.1</v>
      </c>
      <c r="L188" s="455">
        <f t="shared" si="276"/>
        <v>23.1</v>
      </c>
      <c r="M188" s="455"/>
      <c r="N188" s="224">
        <f t="shared" si="277"/>
        <v>0.5670995670995671</v>
      </c>
      <c r="O188" s="179">
        <f t="shared" si="278"/>
        <v>1.0944622279129324</v>
      </c>
      <c r="P188" s="179">
        <f t="shared" si="279"/>
        <v>2.6058624474117433</v>
      </c>
      <c r="Q188" s="224">
        <f t="shared" si="280"/>
        <v>0.17372416316078293</v>
      </c>
      <c r="R188" s="224">
        <f t="shared" si="281"/>
        <v>7.2964148527528819E-2</v>
      </c>
      <c r="S188" s="224">
        <f t="shared" si="282"/>
        <v>6.3</v>
      </c>
      <c r="T188" s="224">
        <f t="shared" si="283"/>
        <v>0.65103206106870237</v>
      </c>
      <c r="U188" s="224">
        <f t="shared" si="284"/>
        <v>3.5806763358778628</v>
      </c>
      <c r="V188" s="224">
        <f t="shared" si="285"/>
        <v>2.7333407144105824</v>
      </c>
      <c r="W188" s="204">
        <f t="shared" si="286"/>
        <v>350</v>
      </c>
      <c r="X188" s="455">
        <f t="shared" si="287"/>
        <v>158.37777947627123</v>
      </c>
      <c r="Z188" s="224">
        <f t="shared" si="288"/>
        <v>0.29459717771406085</v>
      </c>
      <c r="AA188" s="180">
        <f t="shared" si="289"/>
        <v>1.2368583797155226</v>
      </c>
      <c r="AB188" s="180">
        <f t="shared" si="290"/>
        <v>3.7720509310379111E-2</v>
      </c>
      <c r="AC188" s="180"/>
      <c r="AD188" s="180">
        <f t="shared" si="291"/>
        <v>1.217557251908397</v>
      </c>
      <c r="AE188" s="564">
        <f t="shared" si="292"/>
        <v>746.87215281745591</v>
      </c>
      <c r="AF188" s="547">
        <f t="shared" si="293"/>
        <v>3.6552440597785188E-2</v>
      </c>
      <c r="AH188" s="180">
        <f t="shared" si="294"/>
        <v>0.41546719125941461</v>
      </c>
      <c r="AI188" s="180">
        <f t="shared" si="295"/>
        <v>0.65103206106870237</v>
      </c>
      <c r="AJ188" s="180">
        <f t="shared" si="296"/>
        <v>1.4674311563471869</v>
      </c>
      <c r="AL188" s="564">
        <f t="shared" si="297"/>
        <v>78.000000000000014</v>
      </c>
      <c r="AM188" s="473">
        <f t="shared" si="298"/>
        <v>158.37777947627123</v>
      </c>
      <c r="AO188">
        <f t="shared" si="299"/>
        <v>78.000000000000014</v>
      </c>
      <c r="AP188">
        <f t="shared" si="300"/>
        <v>158.37777947627123</v>
      </c>
      <c r="AR188" s="5">
        <f t="shared" si="225"/>
        <v>6.3140170502884461</v>
      </c>
      <c r="AS188" s="5">
        <f t="shared" si="305"/>
        <v>3.5806763358778628</v>
      </c>
      <c r="AT188" s="5">
        <f t="shared" si="306"/>
        <v>2.7333407144105832</v>
      </c>
      <c r="AU188" s="180">
        <f t="shared" si="307"/>
        <v>0.56709956709956699</v>
      </c>
      <c r="AW188" s="5">
        <f t="shared" si="246"/>
        <v>4.4332183206106874</v>
      </c>
      <c r="AX188" s="5">
        <f t="shared" si="247"/>
        <v>1.8619516946564889</v>
      </c>
      <c r="AY188" s="5">
        <f t="shared" si="248"/>
        <v>0.12436700250568151</v>
      </c>
      <c r="AZ188" s="5"/>
      <c r="BA188" s="180">
        <f t="shared" si="249"/>
        <v>0.28305537558727789</v>
      </c>
      <c r="BB188" s="180">
        <f t="shared" si="250"/>
        <v>0.14629406276385037</v>
      </c>
      <c r="BC188" s="180">
        <f t="shared" si="251"/>
        <v>0.14960595021127557</v>
      </c>
      <c r="BD188" s="180"/>
      <c r="BE188" s="547">
        <f t="shared" si="252"/>
        <v>2.8042120977099232E-2</v>
      </c>
      <c r="BF188" s="547">
        <f t="shared" si="253"/>
        <v>2.3818181818181822E-2</v>
      </c>
      <c r="BG188" s="547">
        <f t="shared" si="254"/>
        <v>1.9797222434533904E-3</v>
      </c>
      <c r="BH188" s="547">
        <f t="shared" si="255"/>
        <v>4.8594380971141524E-3</v>
      </c>
      <c r="BI188">
        <f t="shared" si="256"/>
        <v>2.8999999999999998E-3</v>
      </c>
      <c r="BJ188" s="473">
        <f t="shared" si="257"/>
        <v>61.599463135848595</v>
      </c>
      <c r="BK188" s="180">
        <f t="shared" si="258"/>
        <v>2.7300000000000005E-2</v>
      </c>
      <c r="BL188" s="180">
        <f t="shared" si="259"/>
        <v>2.7300000000000005E-2</v>
      </c>
      <c r="BM188" s="547"/>
      <c r="BO188" s="473">
        <f t="shared" si="260"/>
        <v>54.600000000000009</v>
      </c>
      <c r="BP188" s="547">
        <f t="shared" si="261"/>
        <v>8.8132380213740442E-3</v>
      </c>
      <c r="BQ188" s="547">
        <f t="shared" si="262"/>
        <v>7.4906834799836881E-4</v>
      </c>
      <c r="BR188" s="547">
        <f t="shared" si="263"/>
        <v>6.7145821015855993E-4</v>
      </c>
      <c r="BS188" s="547">
        <f t="shared" si="264"/>
        <v>5.3977351343344566E-3</v>
      </c>
      <c r="BT188" s="657">
        <f t="shared" si="301"/>
        <v>6.7127272727272744E-2</v>
      </c>
      <c r="BU188" s="473">
        <f t="shared" si="265"/>
        <v>82.758772441138177</v>
      </c>
      <c r="BV188" s="180">
        <f t="shared" si="266"/>
        <v>0.19895823557698677</v>
      </c>
      <c r="BW188" s="5">
        <f t="shared" si="267"/>
        <v>1.6614000000000002</v>
      </c>
      <c r="BX188" s="180">
        <f t="shared" si="268"/>
        <v>0.8930538044919718</v>
      </c>
      <c r="BY188" s="5">
        <f t="shared" si="269"/>
        <v>89.305380449197173</v>
      </c>
      <c r="BZ188">
        <f t="shared" si="270"/>
        <v>78.000000000000014</v>
      </c>
      <c r="CB188" s="582">
        <f t="shared" si="302"/>
        <v>-50</v>
      </c>
      <c r="CC188">
        <f t="shared" si="303"/>
        <v>-50</v>
      </c>
    </row>
    <row r="189" spans="5:81" x14ac:dyDescent="0.25">
      <c r="E189" s="177">
        <v>79</v>
      </c>
      <c r="F189" s="224">
        <f t="shared" si="304"/>
        <v>7.9000000000000015E-2</v>
      </c>
      <c r="G189" s="224">
        <f t="shared" si="271"/>
        <v>7.9000000000000015E-2</v>
      </c>
      <c r="H189" s="224">
        <f t="shared" si="272"/>
        <v>0.49770000000000009</v>
      </c>
      <c r="I189" s="224">
        <f t="shared" si="273"/>
        <v>1.1850000000000003</v>
      </c>
      <c r="J189" s="560">
        <f t="shared" si="274"/>
        <v>10</v>
      </c>
      <c r="K189" s="455">
        <f t="shared" si="275"/>
        <v>13.1</v>
      </c>
      <c r="L189" s="455">
        <f t="shared" si="276"/>
        <v>23.1</v>
      </c>
      <c r="M189" s="455"/>
      <c r="N189" s="224">
        <f t="shared" si="277"/>
        <v>0.5670995670995671</v>
      </c>
      <c r="O189" s="179">
        <f t="shared" si="278"/>
        <v>1.0944622279129324</v>
      </c>
      <c r="P189" s="179">
        <f t="shared" si="279"/>
        <v>2.6058624474117433</v>
      </c>
      <c r="Q189" s="224">
        <f t="shared" si="280"/>
        <v>0.17372416316078293</v>
      </c>
      <c r="R189" s="224">
        <f t="shared" si="281"/>
        <v>7.2964148527528819E-2</v>
      </c>
      <c r="S189" s="224">
        <f t="shared" si="282"/>
        <v>6.3</v>
      </c>
      <c r="T189" s="224">
        <f t="shared" si="283"/>
        <v>0.65937862595419861</v>
      </c>
      <c r="U189" s="224">
        <f t="shared" si="284"/>
        <v>3.6265824427480924</v>
      </c>
      <c r="V189" s="224">
        <f t="shared" si="285"/>
        <v>2.7683835440825133</v>
      </c>
      <c r="W189" s="204">
        <f t="shared" si="286"/>
        <v>350</v>
      </c>
      <c r="X189" s="455">
        <f t="shared" si="287"/>
        <v>156.37299745758423</v>
      </c>
      <c r="Z189" s="224">
        <f t="shared" si="288"/>
        <v>0.29459717771406085</v>
      </c>
      <c r="AA189" s="180">
        <f t="shared" si="289"/>
        <v>1.2368583797155226</v>
      </c>
      <c r="AB189" s="180">
        <f t="shared" si="290"/>
        <v>3.7720509310379111E-2</v>
      </c>
      <c r="AC189" s="180"/>
      <c r="AD189" s="180">
        <f t="shared" si="291"/>
        <v>1.217557251908397</v>
      </c>
      <c r="AE189" s="564">
        <f t="shared" si="292"/>
        <v>756.44743682793626</v>
      </c>
      <c r="AF189" s="547">
        <f t="shared" si="293"/>
        <v>3.6552440597785188E-2</v>
      </c>
      <c r="AH189" s="180">
        <f t="shared" si="294"/>
        <v>0.41812196070760749</v>
      </c>
      <c r="AI189" s="180">
        <f t="shared" si="295"/>
        <v>0.65937862595419861</v>
      </c>
      <c r="AJ189" s="180">
        <f t="shared" si="296"/>
        <v>1.47361379700311</v>
      </c>
      <c r="AL189" s="564">
        <f t="shared" si="297"/>
        <v>79.000000000000014</v>
      </c>
      <c r="AM189" s="473">
        <f t="shared" si="298"/>
        <v>156.37299745758423</v>
      </c>
      <c r="AO189">
        <f t="shared" si="299"/>
        <v>79.000000000000014</v>
      </c>
      <c r="AP189">
        <f t="shared" si="300"/>
        <v>156.37299745758423</v>
      </c>
      <c r="AR189" s="5">
        <f t="shared" si="225"/>
        <v>6.3949659868306057</v>
      </c>
      <c r="AS189" s="5">
        <f t="shared" si="305"/>
        <v>3.6265824427480924</v>
      </c>
      <c r="AT189" s="5">
        <f t="shared" si="306"/>
        <v>2.7683835440825133</v>
      </c>
      <c r="AU189" s="180">
        <f t="shared" si="307"/>
        <v>0.5670995670995671</v>
      </c>
      <c r="AW189" s="5">
        <f t="shared" si="246"/>
        <v>4.5476192536047515</v>
      </c>
      <c r="AX189" s="5">
        <f t="shared" si="247"/>
        <v>1.9100000865139959</v>
      </c>
      <c r="AY189" s="5">
        <f t="shared" si="248"/>
        <v>0.12757634165646914</v>
      </c>
      <c r="AZ189" s="5"/>
      <c r="BA189" s="180">
        <f t="shared" si="249"/>
        <v>0.28668429065890971</v>
      </c>
      <c r="BB189" s="180">
        <f t="shared" si="250"/>
        <v>0.14816962767107922</v>
      </c>
      <c r="BC189" s="180">
        <f t="shared" si="251"/>
        <v>0.15152397521398422</v>
      </c>
      <c r="BD189" s="180"/>
      <c r="BE189" s="547">
        <f t="shared" si="252"/>
        <v>2.876575887871078E-2</v>
      </c>
      <c r="BF189" s="547">
        <f t="shared" si="253"/>
        <v>2.3818181818181822E-2</v>
      </c>
      <c r="BG189" s="547">
        <f t="shared" si="254"/>
        <v>1.954662468219803E-3</v>
      </c>
      <c r="BH189" s="547">
        <f t="shared" si="255"/>
        <v>4.7979262224671368E-3</v>
      </c>
      <c r="BI189">
        <f t="shared" si="256"/>
        <v>2.8999999999999998E-3</v>
      </c>
      <c r="BJ189" s="473">
        <f t="shared" si="257"/>
        <v>62.236529387579544</v>
      </c>
      <c r="BK189" s="180">
        <f t="shared" si="258"/>
        <v>2.7650000000000004E-2</v>
      </c>
      <c r="BL189" s="180">
        <f t="shared" si="259"/>
        <v>2.7650000000000004E-2</v>
      </c>
      <c r="BM189" s="547"/>
      <c r="BO189" s="473">
        <f t="shared" si="260"/>
        <v>55.300000000000011</v>
      </c>
      <c r="BP189" s="547">
        <f t="shared" si="261"/>
        <v>9.0406670761662457E-3</v>
      </c>
      <c r="BQ189" s="547">
        <f t="shared" si="262"/>
        <v>7.6839834974651864E-4</v>
      </c>
      <c r="BR189" s="547">
        <f t="shared" si="263"/>
        <v>6.8878545193944314E-4</v>
      </c>
      <c r="BS189" s="547">
        <f t="shared" si="264"/>
        <v>5.3977351343344523E-3</v>
      </c>
      <c r="BT189" s="657">
        <f t="shared" si="301"/>
        <v>6.7987878787878805E-2</v>
      </c>
      <c r="BU189" s="473">
        <f t="shared" si="265"/>
        <v>83.883464800065468</v>
      </c>
      <c r="BV189" s="180">
        <f t="shared" si="266"/>
        <v>0.201419994187645</v>
      </c>
      <c r="BW189" s="5">
        <f t="shared" si="267"/>
        <v>1.6827000000000003</v>
      </c>
      <c r="BX189" s="180">
        <f t="shared" si="268"/>
        <v>0.89309598390282519</v>
      </c>
      <c r="BY189" s="5">
        <f t="shared" si="269"/>
        <v>89.309598390282517</v>
      </c>
      <c r="BZ189">
        <f t="shared" si="270"/>
        <v>79.000000000000014</v>
      </c>
      <c r="CB189" s="582">
        <f t="shared" si="302"/>
        <v>-50</v>
      </c>
      <c r="CC189">
        <f t="shared" si="303"/>
        <v>-50</v>
      </c>
    </row>
    <row r="190" spans="5:81" x14ac:dyDescent="0.25">
      <c r="E190" s="177">
        <v>80</v>
      </c>
      <c r="F190" s="224">
        <f t="shared" si="304"/>
        <v>8.0000000000000016E-2</v>
      </c>
      <c r="G190" s="224">
        <f t="shared" si="271"/>
        <v>8.0000000000000016E-2</v>
      </c>
      <c r="H190" s="224">
        <f t="shared" si="272"/>
        <v>0.50400000000000011</v>
      </c>
      <c r="I190" s="224">
        <f t="shared" si="273"/>
        <v>1.2000000000000002</v>
      </c>
      <c r="J190" s="560">
        <f t="shared" si="274"/>
        <v>10</v>
      </c>
      <c r="K190" s="455">
        <f t="shared" si="275"/>
        <v>13.1</v>
      </c>
      <c r="L190" s="455">
        <f t="shared" si="276"/>
        <v>23.1</v>
      </c>
      <c r="M190" s="455"/>
      <c r="N190" s="224">
        <f t="shared" si="277"/>
        <v>0.5670995670995671</v>
      </c>
      <c r="O190" s="179">
        <f t="shared" si="278"/>
        <v>1.0944622279129324</v>
      </c>
      <c r="P190" s="179">
        <f t="shared" si="279"/>
        <v>2.6058624474117433</v>
      </c>
      <c r="Q190" s="224">
        <f t="shared" si="280"/>
        <v>0.17372416316078293</v>
      </c>
      <c r="R190" s="224">
        <f t="shared" si="281"/>
        <v>7.2964148527528819E-2</v>
      </c>
      <c r="S190" s="224">
        <f t="shared" si="282"/>
        <v>6.3</v>
      </c>
      <c r="T190" s="224">
        <f t="shared" si="283"/>
        <v>0.66772519083969473</v>
      </c>
      <c r="U190" s="224">
        <f t="shared" si="284"/>
        <v>3.6724885496183211</v>
      </c>
      <c r="V190" s="224">
        <f t="shared" si="285"/>
        <v>2.8034263737544438</v>
      </c>
      <c r="W190" s="204">
        <f t="shared" si="286"/>
        <v>350</v>
      </c>
      <c r="X190" s="455">
        <f t="shared" si="287"/>
        <v>154.41833498936447</v>
      </c>
      <c r="Z190" s="224">
        <f t="shared" si="288"/>
        <v>0.29459717771406085</v>
      </c>
      <c r="AA190" s="180">
        <f t="shared" si="289"/>
        <v>1.2368583797155226</v>
      </c>
      <c r="AB190" s="180">
        <f t="shared" si="290"/>
        <v>3.7720509310379111E-2</v>
      </c>
      <c r="AC190" s="180"/>
      <c r="AD190" s="180">
        <f t="shared" si="291"/>
        <v>1.217557251908397</v>
      </c>
      <c r="AE190" s="564">
        <f t="shared" si="292"/>
        <v>766.02272083841649</v>
      </c>
      <c r="AF190" s="547">
        <f t="shared" si="293"/>
        <v>3.6552440597785188E-2</v>
      </c>
      <c r="AH190" s="180">
        <f t="shared" si="294"/>
        <v>0.42075998032008827</v>
      </c>
      <c r="AI190" s="180">
        <f t="shared" si="295"/>
        <v>0.66772519083969473</v>
      </c>
      <c r="AJ190" s="180">
        <f t="shared" si="296"/>
        <v>1.4797964376590331</v>
      </c>
      <c r="AL190" s="564">
        <f t="shared" si="297"/>
        <v>80.000000000000014</v>
      </c>
      <c r="AM190" s="473">
        <f t="shared" si="298"/>
        <v>154.41833498936447</v>
      </c>
      <c r="AO190">
        <f t="shared" si="299"/>
        <v>80.000000000000014</v>
      </c>
      <c r="AP190">
        <f t="shared" si="300"/>
        <v>154.41833498936447</v>
      </c>
      <c r="AR190" s="5">
        <f t="shared" si="225"/>
        <v>6.4759149233727635</v>
      </c>
      <c r="AS190" s="5">
        <f t="shared" si="305"/>
        <v>3.6724885496183211</v>
      </c>
      <c r="AT190" s="5">
        <f t="shared" si="306"/>
        <v>2.8034263737544425</v>
      </c>
      <c r="AU190" s="180">
        <f t="shared" si="307"/>
        <v>0.56709956709956721</v>
      </c>
      <c r="AW190" s="5">
        <f t="shared" si="246"/>
        <v>4.6634775233248531</v>
      </c>
      <c r="AX190" s="5">
        <f t="shared" si="247"/>
        <v>1.9586605597964384</v>
      </c>
      <c r="AY190" s="5">
        <f t="shared" si="248"/>
        <v>0.13082656410854065</v>
      </c>
      <c r="AZ190" s="5"/>
      <c r="BA190" s="180">
        <f t="shared" si="249"/>
        <v>0.29031320573054148</v>
      </c>
      <c r="BB190" s="180">
        <f t="shared" si="250"/>
        <v>0.15004519257830803</v>
      </c>
      <c r="BC190" s="180">
        <f t="shared" si="251"/>
        <v>0.15344200021669285</v>
      </c>
      <c r="BD190" s="180"/>
      <c r="BE190" s="547">
        <f t="shared" si="252"/>
        <v>2.9498615097540294E-2</v>
      </c>
      <c r="BF190" s="547">
        <f t="shared" si="253"/>
        <v>2.3818181818181825E-2</v>
      </c>
      <c r="BG190" s="547">
        <f t="shared" si="254"/>
        <v>1.9302291873670556E-3</v>
      </c>
      <c r="BH190" s="547">
        <f t="shared" si="255"/>
        <v>4.7379521446862995E-3</v>
      </c>
      <c r="BI190">
        <f t="shared" si="256"/>
        <v>2.8999999999999998E-3</v>
      </c>
      <c r="BJ190" s="473">
        <f t="shared" si="257"/>
        <v>62.884978247775472</v>
      </c>
      <c r="BK190" s="180">
        <f t="shared" si="258"/>
        <v>2.8000000000000004E-2</v>
      </c>
      <c r="BL190" s="180">
        <f t="shared" si="259"/>
        <v>2.8000000000000004E-2</v>
      </c>
      <c r="BM190" s="547"/>
      <c r="BO190" s="473">
        <f t="shared" si="260"/>
        <v>56.000000000000007</v>
      </c>
      <c r="BP190" s="547">
        <f t="shared" si="261"/>
        <v>9.270993316369807E-3</v>
      </c>
      <c r="BQ190" s="547">
        <f t="shared" si="262"/>
        <v>7.8797459355515412E-4</v>
      </c>
      <c r="BR190" s="547">
        <f t="shared" si="263"/>
        <v>7.0633342291498706E-4</v>
      </c>
      <c r="BS190" s="547">
        <f t="shared" si="264"/>
        <v>5.3977351343344592E-3</v>
      </c>
      <c r="BT190" s="657">
        <f t="shared" si="301"/>
        <v>6.8848484848484867E-2</v>
      </c>
      <c r="BU190" s="473">
        <f t="shared" si="265"/>
        <v>85.01152131565928</v>
      </c>
      <c r="BV190" s="180">
        <f t="shared" si="266"/>
        <v>0.2038964995634347</v>
      </c>
      <c r="BW190" s="5">
        <f t="shared" si="267"/>
        <v>1.7040000000000002</v>
      </c>
      <c r="BX190" s="180">
        <f t="shared" si="268"/>
        <v>0.89313020931162135</v>
      </c>
      <c r="BY190" s="5">
        <f t="shared" si="269"/>
        <v>89.313020931162129</v>
      </c>
      <c r="BZ190">
        <f t="shared" si="270"/>
        <v>80.000000000000014</v>
      </c>
      <c r="CB190" s="582">
        <f t="shared" si="302"/>
        <v>-50</v>
      </c>
      <c r="CC190">
        <f t="shared" si="303"/>
        <v>-50</v>
      </c>
    </row>
    <row r="191" spans="5:81" x14ac:dyDescent="0.25">
      <c r="E191" s="177">
        <v>81</v>
      </c>
      <c r="F191" s="224">
        <f t="shared" si="304"/>
        <v>8.1000000000000016E-2</v>
      </c>
      <c r="G191" s="224">
        <f t="shared" si="271"/>
        <v>8.1000000000000016E-2</v>
      </c>
      <c r="H191" s="224">
        <f t="shared" si="272"/>
        <v>0.51030000000000009</v>
      </c>
      <c r="I191" s="224">
        <f t="shared" si="273"/>
        <v>1.2150000000000003</v>
      </c>
      <c r="J191" s="560">
        <f t="shared" si="274"/>
        <v>10</v>
      </c>
      <c r="K191" s="455">
        <f t="shared" si="275"/>
        <v>13.1</v>
      </c>
      <c r="L191" s="455">
        <f t="shared" si="276"/>
        <v>23.1</v>
      </c>
      <c r="M191" s="455"/>
      <c r="N191" s="224">
        <f t="shared" si="277"/>
        <v>0.5670995670995671</v>
      </c>
      <c r="O191" s="179">
        <f t="shared" si="278"/>
        <v>1.0944622279129324</v>
      </c>
      <c r="P191" s="179">
        <f t="shared" si="279"/>
        <v>2.6058624474117433</v>
      </c>
      <c r="Q191" s="224">
        <f t="shared" si="280"/>
        <v>0.17372416316078293</v>
      </c>
      <c r="R191" s="224">
        <f t="shared" si="281"/>
        <v>7.2964148527528819E-2</v>
      </c>
      <c r="S191" s="224">
        <f t="shared" si="282"/>
        <v>6.3</v>
      </c>
      <c r="T191" s="224">
        <f t="shared" si="283"/>
        <v>0.67607175572519096</v>
      </c>
      <c r="U191" s="224">
        <f t="shared" si="284"/>
        <v>3.7183946564885497</v>
      </c>
      <c r="V191" s="224">
        <f t="shared" si="285"/>
        <v>2.8384692034263743</v>
      </c>
      <c r="W191" s="204">
        <f t="shared" si="286"/>
        <v>350</v>
      </c>
      <c r="X191" s="455">
        <f t="shared" si="287"/>
        <v>152.5119357919649</v>
      </c>
      <c r="Z191" s="224">
        <f t="shared" si="288"/>
        <v>0.29459717771406085</v>
      </c>
      <c r="AA191" s="180">
        <f t="shared" si="289"/>
        <v>1.2368583797155226</v>
      </c>
      <c r="AB191" s="180">
        <f t="shared" si="290"/>
        <v>3.7720509310379111E-2</v>
      </c>
      <c r="AC191" s="180"/>
      <c r="AD191" s="180">
        <f t="shared" si="291"/>
        <v>1.217557251908397</v>
      </c>
      <c r="AE191" s="564">
        <f t="shared" si="292"/>
        <v>775.59800484889661</v>
      </c>
      <c r="AF191" s="547">
        <f t="shared" si="293"/>
        <v>3.6552440597785188E-2</v>
      </c>
      <c r="AH191" s="180">
        <f t="shared" si="294"/>
        <v>0.423381563193236</v>
      </c>
      <c r="AI191" s="180">
        <f t="shared" si="295"/>
        <v>0.67607175572519096</v>
      </c>
      <c r="AJ191" s="180">
        <f t="shared" si="296"/>
        <v>1.4859790783149562</v>
      </c>
      <c r="AL191" s="564">
        <f t="shared" si="297"/>
        <v>81.000000000000014</v>
      </c>
      <c r="AM191" s="473">
        <f t="shared" si="298"/>
        <v>152.5119357919649</v>
      </c>
      <c r="AO191">
        <f t="shared" si="299"/>
        <v>81.000000000000014</v>
      </c>
      <c r="AP191">
        <f t="shared" si="300"/>
        <v>152.5119357919649</v>
      </c>
      <c r="AR191" s="5">
        <f t="shared" si="225"/>
        <v>6.5568638599149232</v>
      </c>
      <c r="AS191" s="5">
        <f t="shared" si="305"/>
        <v>3.7183946564885497</v>
      </c>
      <c r="AT191" s="5">
        <f t="shared" si="306"/>
        <v>2.8384692034263734</v>
      </c>
      <c r="AU191" s="180">
        <f t="shared" si="307"/>
        <v>0.5670995670995671</v>
      </c>
      <c r="AW191" s="5">
        <f t="shared" si="246"/>
        <v>4.780793129770994</v>
      </c>
      <c r="AX191" s="5">
        <f t="shared" si="247"/>
        <v>2.0079331145038175</v>
      </c>
      <c r="AY191" s="5">
        <f t="shared" si="248"/>
        <v>0.13411766986189616</v>
      </c>
      <c r="AZ191" s="5"/>
      <c r="BA191" s="180">
        <f t="shared" si="249"/>
        <v>0.29394212080217325</v>
      </c>
      <c r="BB191" s="180">
        <f t="shared" si="250"/>
        <v>0.15192075748553693</v>
      </c>
      <c r="BC191" s="180">
        <f t="shared" si="251"/>
        <v>0.15536002521940154</v>
      </c>
      <c r="BD191" s="180"/>
      <c r="BE191" s="547">
        <f t="shared" si="252"/>
        <v>3.0240689633587791E-2</v>
      </c>
      <c r="BF191" s="547">
        <f t="shared" si="253"/>
        <v>2.3818181818181825E-2</v>
      </c>
      <c r="BG191" s="547">
        <f t="shared" si="254"/>
        <v>1.9063991973995611E-3</v>
      </c>
      <c r="BH191" s="547">
        <f t="shared" si="255"/>
        <v>4.6794589083321474E-3</v>
      </c>
      <c r="BI191">
        <f t="shared" si="256"/>
        <v>2.8999999999999998E-3</v>
      </c>
      <c r="BJ191" s="473">
        <f t="shared" si="257"/>
        <v>63.54472955750132</v>
      </c>
      <c r="BK191" s="180">
        <f t="shared" si="258"/>
        <v>2.8350000000000004E-2</v>
      </c>
      <c r="BL191" s="180">
        <f t="shared" si="259"/>
        <v>2.8350000000000004E-2</v>
      </c>
      <c r="BM191" s="547"/>
      <c r="BO191" s="473">
        <f t="shared" si="260"/>
        <v>56.70000000000001</v>
      </c>
      <c r="BP191" s="547">
        <f t="shared" si="261"/>
        <v>9.5042167419847352E-3</v>
      </c>
      <c r="BQ191" s="547">
        <f t="shared" si="262"/>
        <v>8.0779707942427647E-4</v>
      </c>
      <c r="BR191" s="547">
        <f t="shared" si="263"/>
        <v>7.2410212308519244E-4</v>
      </c>
      <c r="BS191" s="547">
        <f t="shared" si="264"/>
        <v>5.3977351343344575E-3</v>
      </c>
      <c r="BT191" s="657">
        <f t="shared" si="301"/>
        <v>6.9709090909090943E-2</v>
      </c>
      <c r="BU191" s="473">
        <f t="shared" si="265"/>
        <v>86.142941987919613</v>
      </c>
      <c r="BV191" s="180">
        <f t="shared" si="266"/>
        <v>0.2063876715454209</v>
      </c>
      <c r="BW191" s="5">
        <f t="shared" si="267"/>
        <v>1.7253000000000003</v>
      </c>
      <c r="BX191" s="180">
        <f t="shared" si="268"/>
        <v>0.89315681070723862</v>
      </c>
      <c r="BY191" s="5">
        <f t="shared" si="269"/>
        <v>89.315681070723869</v>
      </c>
      <c r="BZ191">
        <f t="shared" si="270"/>
        <v>81.000000000000014</v>
      </c>
      <c r="CB191" s="582">
        <f t="shared" si="302"/>
        <v>-50</v>
      </c>
      <c r="CC191">
        <f t="shared" si="303"/>
        <v>-50</v>
      </c>
    </row>
    <row r="192" spans="5:81" x14ac:dyDescent="0.25">
      <c r="E192" s="177">
        <v>82</v>
      </c>
      <c r="F192" s="224">
        <f t="shared" si="304"/>
        <v>8.2000000000000003E-2</v>
      </c>
      <c r="G192" s="224">
        <f t="shared" si="271"/>
        <v>8.2000000000000003E-2</v>
      </c>
      <c r="H192" s="224">
        <f t="shared" si="272"/>
        <v>0.51660000000000006</v>
      </c>
      <c r="I192" s="224">
        <f t="shared" si="273"/>
        <v>1.23</v>
      </c>
      <c r="J192" s="560">
        <f t="shared" si="274"/>
        <v>10</v>
      </c>
      <c r="K192" s="455">
        <f t="shared" si="275"/>
        <v>13.1</v>
      </c>
      <c r="L192" s="455">
        <f t="shared" si="276"/>
        <v>23.1</v>
      </c>
      <c r="M192" s="455"/>
      <c r="N192" s="224">
        <f t="shared" si="277"/>
        <v>0.5670995670995671</v>
      </c>
      <c r="O192" s="179">
        <f t="shared" si="278"/>
        <v>1.0944622279129324</v>
      </c>
      <c r="P192" s="179">
        <f t="shared" si="279"/>
        <v>2.6058624474117433</v>
      </c>
      <c r="Q192" s="224">
        <f t="shared" si="280"/>
        <v>0.17372416316078293</v>
      </c>
      <c r="R192" s="224">
        <f t="shared" si="281"/>
        <v>7.2964148527528819E-2</v>
      </c>
      <c r="S192" s="224">
        <f t="shared" si="282"/>
        <v>6.3</v>
      </c>
      <c r="T192" s="224">
        <f t="shared" si="283"/>
        <v>0.68441832061068697</v>
      </c>
      <c r="U192" s="224">
        <f t="shared" si="284"/>
        <v>3.7643007633587784</v>
      </c>
      <c r="V192" s="224">
        <f t="shared" si="285"/>
        <v>2.8735120330983039</v>
      </c>
      <c r="W192" s="204">
        <f t="shared" si="286"/>
        <v>350</v>
      </c>
      <c r="X192" s="455">
        <f t="shared" si="287"/>
        <v>150.65203413596538</v>
      </c>
      <c r="Z192" s="224">
        <f t="shared" si="288"/>
        <v>0.29459717771406085</v>
      </c>
      <c r="AA192" s="180">
        <f t="shared" si="289"/>
        <v>1.2368583797155226</v>
      </c>
      <c r="AB192" s="180">
        <f t="shared" si="290"/>
        <v>3.7720509310379111E-2</v>
      </c>
      <c r="AC192" s="180"/>
      <c r="AD192" s="180">
        <f t="shared" si="291"/>
        <v>1.217557251908397</v>
      </c>
      <c r="AE192" s="564">
        <f t="shared" si="292"/>
        <v>785.17328885937684</v>
      </c>
      <c r="AF192" s="547">
        <f t="shared" si="293"/>
        <v>3.6552440597785188E-2</v>
      </c>
      <c r="AH192" s="180">
        <f t="shared" si="294"/>
        <v>0.42598701278904627</v>
      </c>
      <c r="AI192" s="180">
        <f t="shared" si="295"/>
        <v>0.68441832061068697</v>
      </c>
      <c r="AJ192" s="180">
        <f t="shared" si="296"/>
        <v>1.4921617189708791</v>
      </c>
      <c r="AL192" s="564">
        <f t="shared" si="297"/>
        <v>82</v>
      </c>
      <c r="AM192" s="473">
        <f t="shared" si="298"/>
        <v>150.65203413596538</v>
      </c>
      <c r="AO192">
        <f t="shared" si="299"/>
        <v>82</v>
      </c>
      <c r="AP192">
        <f t="shared" si="300"/>
        <v>150.65203413596538</v>
      </c>
      <c r="AR192" s="5">
        <f t="shared" si="225"/>
        <v>6.637812796457081</v>
      </c>
      <c r="AS192" s="5">
        <f t="shared" si="305"/>
        <v>3.7643007633587784</v>
      </c>
      <c r="AT192" s="5">
        <f t="shared" si="306"/>
        <v>2.8735120330983026</v>
      </c>
      <c r="AU192" s="180">
        <f t="shared" si="307"/>
        <v>0.56709956709956721</v>
      </c>
      <c r="AW192" s="5">
        <f t="shared" si="246"/>
        <v>4.8995660729431725</v>
      </c>
      <c r="AX192" s="5">
        <f t="shared" si="247"/>
        <v>2.0578177506361328</v>
      </c>
      <c r="AY192" s="5">
        <f t="shared" si="248"/>
        <v>0.13744965891653549</v>
      </c>
      <c r="AZ192" s="5"/>
      <c r="BA192" s="180">
        <f t="shared" si="249"/>
        <v>0.29757103587380501</v>
      </c>
      <c r="BB192" s="180">
        <f t="shared" si="250"/>
        <v>0.15379632239276572</v>
      </c>
      <c r="BC192" s="180">
        <f t="shared" si="251"/>
        <v>0.15727805022211014</v>
      </c>
      <c r="BD192" s="180"/>
      <c r="BE192" s="547">
        <f t="shared" si="252"/>
        <v>3.0991982486853271E-2</v>
      </c>
      <c r="BF192" s="547">
        <f t="shared" si="253"/>
        <v>2.3818181818181825E-2</v>
      </c>
      <c r="BG192" s="547">
        <f t="shared" si="254"/>
        <v>1.8831504266995673E-3</v>
      </c>
      <c r="BH192" s="547">
        <f t="shared" si="255"/>
        <v>4.6223923362793181E-3</v>
      </c>
      <c r="BI192">
        <f t="shared" si="256"/>
        <v>2.8999999999999998E-3</v>
      </c>
      <c r="BJ192" s="473">
        <f t="shared" si="257"/>
        <v>64.215707068013984</v>
      </c>
      <c r="BK192" s="180">
        <f t="shared" si="258"/>
        <v>2.87E-2</v>
      </c>
      <c r="BL192" s="180">
        <f t="shared" si="259"/>
        <v>2.87E-2</v>
      </c>
      <c r="BM192" s="547"/>
      <c r="BO192" s="473">
        <f t="shared" si="260"/>
        <v>57.4</v>
      </c>
      <c r="BP192" s="547">
        <f t="shared" si="261"/>
        <v>9.7403373530110283E-3</v>
      </c>
      <c r="BQ192" s="547">
        <f t="shared" si="262"/>
        <v>8.2786580735388373E-4</v>
      </c>
      <c r="BR192" s="547">
        <f t="shared" si="263"/>
        <v>7.4209155245005798E-4</v>
      </c>
      <c r="BS192" s="547">
        <f t="shared" si="264"/>
        <v>5.3977351343344592E-3</v>
      </c>
      <c r="BT192" s="657">
        <f t="shared" si="301"/>
        <v>7.0569696969696991E-2</v>
      </c>
      <c r="BU192" s="473">
        <f t="shared" si="265"/>
        <v>87.277726816846425</v>
      </c>
      <c r="BV192" s="180">
        <f t="shared" si="266"/>
        <v>0.20889343388486042</v>
      </c>
      <c r="BW192" s="5">
        <f t="shared" si="267"/>
        <v>1.7465999999999999</v>
      </c>
      <c r="BX192" s="180">
        <f t="shared" si="268"/>
        <v>0.89317610058661023</v>
      </c>
      <c r="BY192" s="5">
        <f t="shared" si="269"/>
        <v>89.317610058661018</v>
      </c>
      <c r="BZ192">
        <f t="shared" si="270"/>
        <v>82</v>
      </c>
      <c r="CB192" s="582">
        <f t="shared" si="302"/>
        <v>-50</v>
      </c>
      <c r="CC192">
        <f t="shared" si="303"/>
        <v>-50</v>
      </c>
    </row>
    <row r="193" spans="5:81" x14ac:dyDescent="0.25">
      <c r="E193" s="177">
        <v>83</v>
      </c>
      <c r="F193" s="224">
        <f t="shared" si="304"/>
        <v>8.3000000000000004E-2</v>
      </c>
      <c r="G193" s="224">
        <f t="shared" si="271"/>
        <v>8.3000000000000004E-2</v>
      </c>
      <c r="H193" s="224">
        <f t="shared" si="272"/>
        <v>0.52290000000000003</v>
      </c>
      <c r="I193" s="224">
        <f t="shared" si="273"/>
        <v>1.2450000000000001</v>
      </c>
      <c r="J193" s="560">
        <f t="shared" si="274"/>
        <v>10</v>
      </c>
      <c r="K193" s="455">
        <f t="shared" si="275"/>
        <v>13.1</v>
      </c>
      <c r="L193" s="455">
        <f t="shared" si="276"/>
        <v>23.1</v>
      </c>
      <c r="M193" s="455"/>
      <c r="N193" s="224">
        <f t="shared" si="277"/>
        <v>0.5670995670995671</v>
      </c>
      <c r="O193" s="179">
        <f t="shared" si="278"/>
        <v>1.0944622279129324</v>
      </c>
      <c r="P193" s="179">
        <f t="shared" si="279"/>
        <v>2.6058624474117433</v>
      </c>
      <c r="Q193" s="224">
        <f t="shared" si="280"/>
        <v>0.17372416316078293</v>
      </c>
      <c r="R193" s="224">
        <f t="shared" si="281"/>
        <v>7.2964148527528819E-2</v>
      </c>
      <c r="S193" s="224">
        <f t="shared" si="282"/>
        <v>6.3</v>
      </c>
      <c r="T193" s="224">
        <f t="shared" si="283"/>
        <v>0.6927648854961832</v>
      </c>
      <c r="U193" s="224">
        <f t="shared" si="284"/>
        <v>3.8102068702290075</v>
      </c>
      <c r="V193" s="224">
        <f t="shared" si="285"/>
        <v>2.9085548627702349</v>
      </c>
      <c r="W193" s="204">
        <f t="shared" si="286"/>
        <v>350</v>
      </c>
      <c r="X193" s="455">
        <f t="shared" si="287"/>
        <v>148.83694938733925</v>
      </c>
      <c r="Z193" s="224">
        <f t="shared" si="288"/>
        <v>0.29459717771406085</v>
      </c>
      <c r="AA193" s="180">
        <f t="shared" si="289"/>
        <v>1.2368583797155226</v>
      </c>
      <c r="AB193" s="180">
        <f t="shared" si="290"/>
        <v>3.7720509310379111E-2</v>
      </c>
      <c r="AC193" s="180"/>
      <c r="AD193" s="180">
        <f t="shared" si="291"/>
        <v>1.217557251908397</v>
      </c>
      <c r="AE193" s="564">
        <f t="shared" si="292"/>
        <v>794.74857286985696</v>
      </c>
      <c r="AF193" s="547">
        <f t="shared" si="293"/>
        <v>3.6552440597785188E-2</v>
      </c>
      <c r="AH193" s="180">
        <f t="shared" si="294"/>
        <v>0.42857662334514007</v>
      </c>
      <c r="AI193" s="180">
        <f t="shared" si="295"/>
        <v>0.6927648854961832</v>
      </c>
      <c r="AJ193" s="180">
        <f t="shared" si="296"/>
        <v>1.4983443596268025</v>
      </c>
      <c r="AL193" s="564">
        <f t="shared" si="297"/>
        <v>83</v>
      </c>
      <c r="AM193" s="473">
        <f t="shared" si="298"/>
        <v>148.83694938733925</v>
      </c>
      <c r="AO193">
        <f t="shared" si="299"/>
        <v>83</v>
      </c>
      <c r="AP193">
        <f t="shared" si="300"/>
        <v>148.83694938733925</v>
      </c>
      <c r="AR193" s="5">
        <f t="shared" si="225"/>
        <v>6.7187617329992433</v>
      </c>
      <c r="AS193" s="5">
        <f t="shared" si="305"/>
        <v>3.8102068702290075</v>
      </c>
      <c r="AT193" s="5">
        <f t="shared" si="306"/>
        <v>2.9085548627702358</v>
      </c>
      <c r="AU193" s="180">
        <f t="shared" si="307"/>
        <v>0.56709956709956699</v>
      </c>
      <c r="AW193" s="5">
        <f t="shared" si="246"/>
        <v>5.0197963528413903</v>
      </c>
      <c r="AX193" s="5">
        <f t="shared" si="247"/>
        <v>2.1083144681933841</v>
      </c>
      <c r="AY193" s="5">
        <f t="shared" si="248"/>
        <v>0.14082253127245892</v>
      </c>
      <c r="AZ193" s="5"/>
      <c r="BA193" s="180">
        <f t="shared" si="249"/>
        <v>0.30119995094543672</v>
      </c>
      <c r="BB193" s="180">
        <f t="shared" si="250"/>
        <v>0.15567188729999462</v>
      </c>
      <c r="BC193" s="180">
        <f t="shared" si="251"/>
        <v>0.15919607522481885</v>
      </c>
      <c r="BD193" s="180"/>
      <c r="BE193" s="547">
        <f t="shared" si="252"/>
        <v>3.1752493657336719E-2</v>
      </c>
      <c r="BF193" s="547">
        <f t="shared" si="253"/>
        <v>2.3818181818181822E-2</v>
      </c>
      <c r="BG193" s="547">
        <f t="shared" si="254"/>
        <v>1.8604618673417404E-3</v>
      </c>
      <c r="BH193" s="547">
        <f t="shared" si="255"/>
        <v>4.5667008623482405E-3</v>
      </c>
      <c r="BI193">
        <f t="shared" si="256"/>
        <v>2.8999999999999998E-3</v>
      </c>
      <c r="BJ193" s="473">
        <f t="shared" si="257"/>
        <v>64.897838205208529</v>
      </c>
      <c r="BK193" s="180">
        <f t="shared" si="258"/>
        <v>2.9049999999999999E-2</v>
      </c>
      <c r="BL193" s="180">
        <f t="shared" si="259"/>
        <v>2.9049999999999999E-2</v>
      </c>
      <c r="BM193" s="547"/>
      <c r="BO193" s="473">
        <f t="shared" si="260"/>
        <v>58.1</v>
      </c>
      <c r="BP193" s="547">
        <f t="shared" si="261"/>
        <v>9.9793551494486831E-3</v>
      </c>
      <c r="BQ193" s="547">
        <f t="shared" si="262"/>
        <v>8.4818077734397806E-4</v>
      </c>
      <c r="BR193" s="547">
        <f t="shared" si="263"/>
        <v>7.6030171100958542E-4</v>
      </c>
      <c r="BS193" s="547">
        <f t="shared" si="264"/>
        <v>5.3977351343344618E-3</v>
      </c>
      <c r="BT193" s="657">
        <f t="shared" si="301"/>
        <v>7.1430303030303025E-2</v>
      </c>
      <c r="BU193" s="473">
        <f t="shared" ref="BU193:BU210" si="308">SUM(BP193:BT193)*1000</f>
        <v>88.415875802439729</v>
      </c>
      <c r="BV193" s="180">
        <f t="shared" ref="BV193:BV210" si="309">SUM(BE193:BI193,BK193:BN193,BP193:BT193)</f>
        <v>0.21141371400764825</v>
      </c>
      <c r="BW193" s="5">
        <f t="shared" ref="BW193:BW210" si="310">MIN(H193+I193,O193+P193)</f>
        <v>1.7679</v>
      </c>
      <c r="BX193" s="180">
        <f t="shared" ref="BX193:BX210" si="311">BW193/(BW193+BV193)</f>
        <v>0.89318837508603688</v>
      </c>
      <c r="BY193" s="5">
        <f t="shared" ref="BY193:BY210" si="312">BX193*100</f>
        <v>89.318837508603693</v>
      </c>
      <c r="BZ193">
        <f t="shared" ref="BZ193:BZ210" si="313">F193/Iout*100</f>
        <v>83</v>
      </c>
      <c r="CB193" s="582">
        <f t="shared" si="302"/>
        <v>-50</v>
      </c>
      <c r="CC193">
        <f t="shared" si="303"/>
        <v>-50</v>
      </c>
    </row>
    <row r="194" spans="5:81" x14ac:dyDescent="0.25">
      <c r="E194" s="177">
        <v>84</v>
      </c>
      <c r="F194" s="224">
        <f t="shared" si="304"/>
        <v>8.4000000000000005E-2</v>
      </c>
      <c r="G194" s="224">
        <f t="shared" si="271"/>
        <v>8.4000000000000005E-2</v>
      </c>
      <c r="H194" s="224">
        <f t="shared" si="272"/>
        <v>0.5292</v>
      </c>
      <c r="I194" s="224">
        <f t="shared" si="273"/>
        <v>1.26</v>
      </c>
      <c r="J194" s="560">
        <f t="shared" si="274"/>
        <v>10</v>
      </c>
      <c r="K194" s="455">
        <f t="shared" si="275"/>
        <v>13.1</v>
      </c>
      <c r="L194" s="455">
        <f t="shared" si="276"/>
        <v>23.1</v>
      </c>
      <c r="M194" s="455"/>
      <c r="N194" s="224">
        <f t="shared" si="277"/>
        <v>0.5670995670995671</v>
      </c>
      <c r="O194" s="179">
        <f t="shared" si="278"/>
        <v>1.0944622279129324</v>
      </c>
      <c r="P194" s="179">
        <f t="shared" si="279"/>
        <v>2.6058624474117433</v>
      </c>
      <c r="Q194" s="224">
        <f t="shared" si="280"/>
        <v>0.17372416316078293</v>
      </c>
      <c r="R194" s="224">
        <f t="shared" si="281"/>
        <v>7.2964148527528819E-2</v>
      </c>
      <c r="S194" s="224">
        <f t="shared" si="282"/>
        <v>6.3</v>
      </c>
      <c r="T194" s="224">
        <f t="shared" si="283"/>
        <v>0.70111145038167944</v>
      </c>
      <c r="U194" s="224">
        <f t="shared" si="284"/>
        <v>3.8561129770992371</v>
      </c>
      <c r="V194" s="224">
        <f t="shared" si="285"/>
        <v>2.9435976924421658</v>
      </c>
      <c r="W194" s="204">
        <f t="shared" si="286"/>
        <v>350</v>
      </c>
      <c r="X194" s="455">
        <f t="shared" si="287"/>
        <v>147.06508094225185</v>
      </c>
      <c r="Z194" s="224">
        <f t="shared" si="288"/>
        <v>0.29459717771406085</v>
      </c>
      <c r="AA194" s="180">
        <f t="shared" si="289"/>
        <v>1.2368583797155226</v>
      </c>
      <c r="AB194" s="180">
        <f t="shared" si="290"/>
        <v>3.7720509310379111E-2</v>
      </c>
      <c r="AC194" s="180"/>
      <c r="AD194" s="180">
        <f t="shared" si="291"/>
        <v>1.217557251908397</v>
      </c>
      <c r="AE194" s="564">
        <f t="shared" si="292"/>
        <v>804.32385688033708</v>
      </c>
      <c r="AF194" s="547">
        <f t="shared" si="293"/>
        <v>3.6552440597785188E-2</v>
      </c>
      <c r="AH194" s="180">
        <f t="shared" si="294"/>
        <v>0.43115068026260739</v>
      </c>
      <c r="AI194" s="180">
        <f t="shared" si="295"/>
        <v>0.70111145038167944</v>
      </c>
      <c r="AJ194" s="180">
        <f t="shared" si="296"/>
        <v>1.5045270002827256</v>
      </c>
      <c r="AL194" s="564">
        <f t="shared" si="297"/>
        <v>84</v>
      </c>
      <c r="AM194" s="473">
        <f t="shared" si="298"/>
        <v>147.06508094225185</v>
      </c>
      <c r="AO194">
        <f t="shared" si="299"/>
        <v>84</v>
      </c>
      <c r="AP194">
        <f t="shared" si="300"/>
        <v>147.06508094225185</v>
      </c>
      <c r="AR194" s="5">
        <f t="shared" si="225"/>
        <v>6.7997106695414029</v>
      </c>
      <c r="AS194" s="5">
        <f t="shared" si="305"/>
        <v>3.8561129770992371</v>
      </c>
      <c r="AT194" s="5">
        <f t="shared" si="306"/>
        <v>2.9435976924421658</v>
      </c>
      <c r="AU194" s="180">
        <f t="shared" si="307"/>
        <v>0.5670995670995671</v>
      </c>
      <c r="AW194" s="5">
        <f t="shared" si="246"/>
        <v>5.14148396946565</v>
      </c>
      <c r="AX194" s="5">
        <f t="shared" si="247"/>
        <v>2.1594232671755726</v>
      </c>
      <c r="AY194" s="5">
        <f t="shared" si="248"/>
        <v>0.14423628692966611</v>
      </c>
      <c r="AZ194" s="5"/>
      <c r="BA194" s="180">
        <f t="shared" si="249"/>
        <v>0.30482886601706854</v>
      </c>
      <c r="BB194" s="180">
        <f t="shared" si="250"/>
        <v>0.15754745220722344</v>
      </c>
      <c r="BC194" s="180">
        <f t="shared" si="251"/>
        <v>0.16111410022752751</v>
      </c>
      <c r="BD194" s="180"/>
      <c r="BE194" s="547">
        <f t="shared" si="252"/>
        <v>3.2522223145038172E-2</v>
      </c>
      <c r="BF194" s="547">
        <f t="shared" si="253"/>
        <v>2.3818181818181822E-2</v>
      </c>
      <c r="BG194" s="547">
        <f t="shared" si="254"/>
        <v>1.8383135117781481E-3</v>
      </c>
      <c r="BH194" s="547">
        <f t="shared" si="255"/>
        <v>4.5123353758917129E-3</v>
      </c>
      <c r="BI194">
        <f t="shared" si="256"/>
        <v>2.8999999999999998E-3</v>
      </c>
      <c r="BJ194" s="473">
        <f t="shared" si="257"/>
        <v>65.59105385088985</v>
      </c>
      <c r="BK194" s="180">
        <f t="shared" si="258"/>
        <v>2.9399999999999999E-2</v>
      </c>
      <c r="BL194" s="180">
        <f t="shared" si="259"/>
        <v>2.9399999999999999E-2</v>
      </c>
      <c r="BM194" s="547"/>
      <c r="BO194" s="473">
        <f t="shared" si="260"/>
        <v>58.8</v>
      </c>
      <c r="BP194" s="547">
        <f t="shared" si="261"/>
        <v>1.0221270131297712E-2</v>
      </c>
      <c r="BQ194" s="547">
        <f t="shared" si="262"/>
        <v>8.6874198939455741E-4</v>
      </c>
      <c r="BR194" s="547">
        <f t="shared" si="263"/>
        <v>7.7873259876377334E-4</v>
      </c>
      <c r="BS194" s="547">
        <f t="shared" si="264"/>
        <v>5.3977351343344575E-3</v>
      </c>
      <c r="BT194" s="657">
        <f t="shared" si="301"/>
        <v>7.2290909090909086E-2</v>
      </c>
      <c r="BU194" s="473">
        <f t="shared" si="308"/>
        <v>89.557388944699582</v>
      </c>
      <c r="BV194" s="180">
        <f t="shared" si="309"/>
        <v>0.21394844279558939</v>
      </c>
      <c r="BW194" s="5">
        <f t="shared" si="310"/>
        <v>1.7892000000000001</v>
      </c>
      <c r="BX194" s="180">
        <f t="shared" si="311"/>
        <v>0.89319391502658518</v>
      </c>
      <c r="BY194" s="5">
        <f t="shared" si="312"/>
        <v>89.319391502658519</v>
      </c>
      <c r="BZ194">
        <f t="shared" si="313"/>
        <v>84</v>
      </c>
      <c r="CB194" s="582">
        <f t="shared" si="302"/>
        <v>-50</v>
      </c>
      <c r="CC194">
        <f t="shared" si="303"/>
        <v>-50</v>
      </c>
    </row>
    <row r="195" spans="5:81" x14ac:dyDescent="0.25">
      <c r="E195" s="177">
        <v>85</v>
      </c>
      <c r="F195" s="224">
        <f t="shared" si="304"/>
        <v>8.5000000000000006E-2</v>
      </c>
      <c r="G195" s="224">
        <f t="shared" si="271"/>
        <v>8.5000000000000006E-2</v>
      </c>
      <c r="H195" s="224">
        <f t="shared" si="272"/>
        <v>0.53549999999999998</v>
      </c>
      <c r="I195" s="224">
        <f t="shared" si="273"/>
        <v>1.2750000000000001</v>
      </c>
      <c r="J195" s="560">
        <f t="shared" si="274"/>
        <v>10</v>
      </c>
      <c r="K195" s="455">
        <f t="shared" si="275"/>
        <v>13.1</v>
      </c>
      <c r="L195" s="455">
        <f t="shared" si="276"/>
        <v>23.1</v>
      </c>
      <c r="M195" s="455"/>
      <c r="N195" s="224">
        <f t="shared" si="277"/>
        <v>0.5670995670995671</v>
      </c>
      <c r="O195" s="179">
        <f t="shared" si="278"/>
        <v>1.0944622279129324</v>
      </c>
      <c r="P195" s="179">
        <f t="shared" si="279"/>
        <v>2.6058624474117433</v>
      </c>
      <c r="Q195" s="224">
        <f t="shared" si="280"/>
        <v>0.17372416316078293</v>
      </c>
      <c r="R195" s="224">
        <f t="shared" si="281"/>
        <v>7.2964148527528819E-2</v>
      </c>
      <c r="S195" s="224">
        <f t="shared" si="282"/>
        <v>6.3</v>
      </c>
      <c r="T195" s="224">
        <f t="shared" si="283"/>
        <v>0.70945801526717567</v>
      </c>
      <c r="U195" s="224">
        <f t="shared" si="284"/>
        <v>3.9020190839694666</v>
      </c>
      <c r="V195" s="224">
        <f t="shared" si="285"/>
        <v>2.9786405221140968</v>
      </c>
      <c r="W195" s="204">
        <f t="shared" si="286"/>
        <v>350</v>
      </c>
      <c r="X195" s="455">
        <f t="shared" si="287"/>
        <v>145.33490351940182</v>
      </c>
      <c r="Z195" s="224">
        <f t="shared" si="288"/>
        <v>0.29459717771406085</v>
      </c>
      <c r="AA195" s="180">
        <f t="shared" si="289"/>
        <v>1.2368583797155226</v>
      </c>
      <c r="AB195" s="180">
        <f t="shared" si="290"/>
        <v>3.7720509310379111E-2</v>
      </c>
      <c r="AC195" s="180"/>
      <c r="AD195" s="180">
        <f t="shared" si="291"/>
        <v>1.217557251908397</v>
      </c>
      <c r="AE195" s="564">
        <f t="shared" si="292"/>
        <v>813.89914089081742</v>
      </c>
      <c r="AF195" s="547">
        <f t="shared" si="293"/>
        <v>3.6552440597785188E-2</v>
      </c>
      <c r="AH195" s="180">
        <f t="shared" si="294"/>
        <v>0.43370946047313302</v>
      </c>
      <c r="AI195" s="180">
        <f t="shared" si="295"/>
        <v>0.70945801526717567</v>
      </c>
      <c r="AJ195" s="180">
        <f t="shared" si="296"/>
        <v>1.5107096409386487</v>
      </c>
      <c r="AL195" s="564">
        <f t="shared" si="297"/>
        <v>85</v>
      </c>
      <c r="AM195" s="473">
        <f t="shared" si="298"/>
        <v>145.33490351940182</v>
      </c>
      <c r="AO195">
        <f t="shared" si="299"/>
        <v>85</v>
      </c>
      <c r="AP195">
        <f t="shared" si="300"/>
        <v>145.33490351940182</v>
      </c>
      <c r="AR195" s="5">
        <f t="shared" si="225"/>
        <v>6.8806596060835634</v>
      </c>
      <c r="AS195" s="5">
        <f t="shared" si="305"/>
        <v>3.9020190839694666</v>
      </c>
      <c r="AT195" s="5">
        <f t="shared" si="306"/>
        <v>2.9786405221140968</v>
      </c>
      <c r="AU195" s="180">
        <f t="shared" si="307"/>
        <v>0.5670995670995671</v>
      </c>
      <c r="AW195" s="5">
        <f t="shared" si="246"/>
        <v>5.2646289228159473</v>
      </c>
      <c r="AX195" s="5">
        <f t="shared" si="247"/>
        <v>2.2111441475826981</v>
      </c>
      <c r="AY195" s="5">
        <f t="shared" si="248"/>
        <v>0.14769092588815727</v>
      </c>
      <c r="AZ195" s="5"/>
      <c r="BA195" s="180">
        <f t="shared" si="249"/>
        <v>0.30845778108870031</v>
      </c>
      <c r="BB195" s="180">
        <f t="shared" si="250"/>
        <v>0.15942301711445231</v>
      </c>
      <c r="BC195" s="180">
        <f t="shared" si="251"/>
        <v>0.16303212523023616</v>
      </c>
      <c r="BD195" s="180"/>
      <c r="BE195" s="547">
        <f t="shared" si="252"/>
        <v>3.3301170949957597E-2</v>
      </c>
      <c r="BF195" s="547">
        <f t="shared" si="253"/>
        <v>2.3818181818181818E-2</v>
      </c>
      <c r="BG195" s="547">
        <f t="shared" si="254"/>
        <v>1.8166862939925227E-3</v>
      </c>
      <c r="BH195" s="547">
        <f t="shared" si="255"/>
        <v>4.4592490773518101E-3</v>
      </c>
      <c r="BI195">
        <f t="shared" si="256"/>
        <v>2.8999999999999998E-3</v>
      </c>
      <c r="BJ195" s="473">
        <f t="shared" si="257"/>
        <v>66.295288139483745</v>
      </c>
      <c r="BK195" s="180">
        <f t="shared" si="258"/>
        <v>2.9749999999999999E-2</v>
      </c>
      <c r="BL195" s="180">
        <f t="shared" si="259"/>
        <v>2.9749999999999999E-2</v>
      </c>
      <c r="BM195" s="547"/>
      <c r="BO195" s="473">
        <f t="shared" si="260"/>
        <v>59.5</v>
      </c>
      <c r="BP195" s="547">
        <f t="shared" si="261"/>
        <v>1.0466082298558102E-2</v>
      </c>
      <c r="BQ195" s="547">
        <f t="shared" si="262"/>
        <v>8.8954944350562351E-4</v>
      </c>
      <c r="BR195" s="547">
        <f t="shared" si="263"/>
        <v>7.9738421571262218E-4</v>
      </c>
      <c r="BS195" s="547">
        <f t="shared" si="264"/>
        <v>5.3977351343344462E-3</v>
      </c>
      <c r="BT195" s="657">
        <f t="shared" si="301"/>
        <v>7.3151515151515162E-2</v>
      </c>
      <c r="BU195" s="473">
        <f t="shared" si="308"/>
        <v>90.702266243625957</v>
      </c>
      <c r="BV195" s="180">
        <f t="shared" si="309"/>
        <v>0.21649755438310969</v>
      </c>
      <c r="BW195" s="5">
        <f t="shared" si="310"/>
        <v>1.8105000000000002</v>
      </c>
      <c r="BX195" s="180">
        <f t="shared" si="311"/>
        <v>0.89319298688103366</v>
      </c>
      <c r="BY195" s="5">
        <f t="shared" si="312"/>
        <v>89.319298688103359</v>
      </c>
      <c r="BZ195">
        <f t="shared" si="313"/>
        <v>85</v>
      </c>
      <c r="CB195" s="582">
        <f t="shared" si="302"/>
        <v>-50</v>
      </c>
      <c r="CC195">
        <f t="shared" si="303"/>
        <v>-50</v>
      </c>
    </row>
    <row r="196" spans="5:81" x14ac:dyDescent="0.25">
      <c r="E196" s="177">
        <v>86</v>
      </c>
      <c r="F196" s="224">
        <f t="shared" si="304"/>
        <v>8.6000000000000007E-2</v>
      </c>
      <c r="G196" s="224">
        <f t="shared" si="271"/>
        <v>8.6000000000000007E-2</v>
      </c>
      <c r="H196" s="224">
        <f t="shared" si="272"/>
        <v>0.54180000000000006</v>
      </c>
      <c r="I196" s="224">
        <f t="shared" si="273"/>
        <v>1.29</v>
      </c>
      <c r="J196" s="560">
        <f t="shared" si="274"/>
        <v>10</v>
      </c>
      <c r="K196" s="455">
        <f t="shared" si="275"/>
        <v>13.1</v>
      </c>
      <c r="L196" s="455">
        <f t="shared" si="276"/>
        <v>23.1</v>
      </c>
      <c r="M196" s="455"/>
      <c r="N196" s="224">
        <f t="shared" si="277"/>
        <v>0.5670995670995671</v>
      </c>
      <c r="O196" s="179">
        <f t="shared" si="278"/>
        <v>1.0944622279129324</v>
      </c>
      <c r="P196" s="179">
        <f t="shared" si="279"/>
        <v>2.6058624474117433</v>
      </c>
      <c r="Q196" s="224">
        <f t="shared" si="280"/>
        <v>0.17372416316078293</v>
      </c>
      <c r="R196" s="224">
        <f t="shared" si="281"/>
        <v>7.2964148527528819E-2</v>
      </c>
      <c r="S196" s="224">
        <f t="shared" si="282"/>
        <v>6.3</v>
      </c>
      <c r="T196" s="224">
        <f t="shared" si="283"/>
        <v>0.71780458015267179</v>
      </c>
      <c r="U196" s="224">
        <f t="shared" si="284"/>
        <v>3.9479251908396953</v>
      </c>
      <c r="V196" s="224">
        <f t="shared" si="285"/>
        <v>3.0136833517860269</v>
      </c>
      <c r="W196" s="204">
        <f t="shared" si="286"/>
        <v>350</v>
      </c>
      <c r="X196" s="455">
        <f t="shared" si="287"/>
        <v>143.64496278080412</v>
      </c>
      <c r="Z196" s="224">
        <f t="shared" si="288"/>
        <v>0.29459717771406085</v>
      </c>
      <c r="AA196" s="180">
        <f t="shared" si="289"/>
        <v>1.2368583797155226</v>
      </c>
      <c r="AB196" s="180">
        <f t="shared" si="290"/>
        <v>3.7720509310379111E-2</v>
      </c>
      <c r="AC196" s="180"/>
      <c r="AD196" s="180">
        <f t="shared" si="291"/>
        <v>1.217557251908397</v>
      </c>
      <c r="AE196" s="564">
        <f t="shared" si="292"/>
        <v>823.47442490129754</v>
      </c>
      <c r="AF196" s="547">
        <f t="shared" si="293"/>
        <v>3.6552440597785188E-2</v>
      </c>
      <c r="AH196" s="180">
        <f t="shared" si="294"/>
        <v>0.43625323278674183</v>
      </c>
      <c r="AI196" s="180">
        <f t="shared" si="295"/>
        <v>0.71780458015267179</v>
      </c>
      <c r="AJ196" s="180">
        <f t="shared" si="296"/>
        <v>1.5168922815945716</v>
      </c>
      <c r="AL196" s="564">
        <f t="shared" si="297"/>
        <v>86</v>
      </c>
      <c r="AM196" s="473">
        <f t="shared" si="298"/>
        <v>143.64496278080412</v>
      </c>
      <c r="AO196">
        <f t="shared" si="299"/>
        <v>86</v>
      </c>
      <c r="AP196">
        <f t="shared" si="300"/>
        <v>143.64496278080412</v>
      </c>
      <c r="AR196" s="5">
        <f t="shared" si="225"/>
        <v>6.961608542625723</v>
      </c>
      <c r="AS196" s="5">
        <f t="shared" si="305"/>
        <v>3.9479251908396953</v>
      </c>
      <c r="AT196" s="5">
        <f t="shared" si="306"/>
        <v>3.0136833517860278</v>
      </c>
      <c r="AU196" s="180">
        <f t="shared" si="307"/>
        <v>0.56709956709956699</v>
      </c>
      <c r="AW196" s="5">
        <f t="shared" si="246"/>
        <v>5.389231212892283</v>
      </c>
      <c r="AX196" s="5">
        <f t="shared" si="247"/>
        <v>2.263477109414759</v>
      </c>
      <c r="AY196" s="5">
        <f t="shared" si="248"/>
        <v>0.15118644814793242</v>
      </c>
      <c r="AZ196" s="5"/>
      <c r="BA196" s="180">
        <f t="shared" si="249"/>
        <v>0.31208669616033202</v>
      </c>
      <c r="BB196" s="180">
        <f t="shared" si="250"/>
        <v>0.16129858202168115</v>
      </c>
      <c r="BC196" s="180">
        <f t="shared" si="251"/>
        <v>0.16495015023294485</v>
      </c>
      <c r="BD196" s="180"/>
      <c r="BE196" s="547">
        <f t="shared" si="252"/>
        <v>3.4089337072094987E-2</v>
      </c>
      <c r="BF196" s="547">
        <f t="shared" si="253"/>
        <v>2.3818181818181811E-2</v>
      </c>
      <c r="BG196" s="547">
        <f t="shared" si="254"/>
        <v>1.7955620347600515E-3</v>
      </c>
      <c r="BH196" s="547">
        <f t="shared" si="255"/>
        <v>4.4073973438942312E-3</v>
      </c>
      <c r="BI196">
        <f t="shared" si="256"/>
        <v>2.8999999999999998E-3</v>
      </c>
      <c r="BJ196" s="473">
        <f t="shared" si="257"/>
        <v>67.010478268931081</v>
      </c>
      <c r="BK196" s="180">
        <f t="shared" si="258"/>
        <v>3.0100000000000002E-2</v>
      </c>
      <c r="BL196" s="180">
        <f t="shared" si="259"/>
        <v>3.0100000000000002E-2</v>
      </c>
      <c r="BM196" s="547"/>
      <c r="BO196" s="473">
        <f t="shared" si="260"/>
        <v>60.2</v>
      </c>
      <c r="BP196" s="547">
        <f t="shared" si="261"/>
        <v>1.0713791651229853E-2</v>
      </c>
      <c r="BQ196" s="547">
        <f t="shared" si="262"/>
        <v>9.1060313967717516E-4</v>
      </c>
      <c r="BR196" s="547">
        <f t="shared" si="263"/>
        <v>8.1625656185613216E-4</v>
      </c>
      <c r="BS196" s="547">
        <f t="shared" si="264"/>
        <v>5.3977351343344531E-3</v>
      </c>
      <c r="BT196" s="657">
        <f t="shared" si="301"/>
        <v>7.401212121212121E-2</v>
      </c>
      <c r="BU196" s="473">
        <f t="shared" si="308"/>
        <v>91.850507699218824</v>
      </c>
      <c r="BV196" s="180">
        <f t="shared" si="309"/>
        <v>0.21906098596814988</v>
      </c>
      <c r="BW196" s="5">
        <f t="shared" si="310"/>
        <v>1.8318000000000001</v>
      </c>
      <c r="BX196" s="180">
        <f t="shared" si="311"/>
        <v>0.89318584366909792</v>
      </c>
      <c r="BY196" s="5">
        <f t="shared" si="312"/>
        <v>89.318584366909789</v>
      </c>
      <c r="BZ196">
        <f t="shared" si="313"/>
        <v>86</v>
      </c>
      <c r="CB196" s="582">
        <f t="shared" si="302"/>
        <v>-50</v>
      </c>
      <c r="CC196">
        <f t="shared" si="303"/>
        <v>-50</v>
      </c>
    </row>
    <row r="197" spans="5:81" x14ac:dyDescent="0.25">
      <c r="E197" s="177">
        <v>87</v>
      </c>
      <c r="F197" s="224">
        <f t="shared" si="304"/>
        <v>8.7000000000000008E-2</v>
      </c>
      <c r="G197" s="224">
        <f t="shared" si="271"/>
        <v>8.7000000000000008E-2</v>
      </c>
      <c r="H197" s="224">
        <f t="shared" si="272"/>
        <v>0.54810000000000003</v>
      </c>
      <c r="I197" s="224">
        <f t="shared" si="273"/>
        <v>1.3050000000000002</v>
      </c>
      <c r="J197" s="560">
        <f t="shared" si="274"/>
        <v>10</v>
      </c>
      <c r="K197" s="455">
        <f t="shared" si="275"/>
        <v>13.1</v>
      </c>
      <c r="L197" s="455">
        <f t="shared" si="276"/>
        <v>23.1</v>
      </c>
      <c r="M197" s="455"/>
      <c r="N197" s="224">
        <f t="shared" si="277"/>
        <v>0.5670995670995671</v>
      </c>
      <c r="O197" s="179">
        <f t="shared" si="278"/>
        <v>1.0944622279129324</v>
      </c>
      <c r="P197" s="179">
        <f t="shared" si="279"/>
        <v>2.6058624474117433</v>
      </c>
      <c r="Q197" s="224">
        <f t="shared" si="280"/>
        <v>0.17372416316078293</v>
      </c>
      <c r="R197" s="224">
        <f t="shared" si="281"/>
        <v>7.2964148527528819E-2</v>
      </c>
      <c r="S197" s="224">
        <f t="shared" si="282"/>
        <v>6.3</v>
      </c>
      <c r="T197" s="224">
        <f t="shared" si="283"/>
        <v>0.72615114503816802</v>
      </c>
      <c r="U197" s="224">
        <f t="shared" si="284"/>
        <v>3.9938312977099248</v>
      </c>
      <c r="V197" s="224">
        <f t="shared" si="285"/>
        <v>3.0487261814579578</v>
      </c>
      <c r="W197" s="204">
        <f t="shared" si="286"/>
        <v>350</v>
      </c>
      <c r="X197" s="455">
        <f t="shared" si="287"/>
        <v>141.99387125458799</v>
      </c>
      <c r="Z197" s="224">
        <f t="shared" si="288"/>
        <v>0.29459717771406085</v>
      </c>
      <c r="AA197" s="180">
        <f t="shared" si="289"/>
        <v>1.2368583797155226</v>
      </c>
      <c r="AB197" s="180">
        <f t="shared" si="290"/>
        <v>3.7720509310379111E-2</v>
      </c>
      <c r="AC197" s="180"/>
      <c r="AD197" s="180">
        <f t="shared" si="291"/>
        <v>1.217557251908397</v>
      </c>
      <c r="AE197" s="564">
        <f t="shared" si="292"/>
        <v>833.04970891177777</v>
      </c>
      <c r="AF197" s="547">
        <f t="shared" si="293"/>
        <v>3.6552440597785188E-2</v>
      </c>
      <c r="AH197" s="180">
        <f t="shared" si="294"/>
        <v>0.43878225822139866</v>
      </c>
      <c r="AI197" s="180">
        <f t="shared" si="295"/>
        <v>0.72615114503816802</v>
      </c>
      <c r="AJ197" s="180">
        <f t="shared" si="296"/>
        <v>1.5230749222504949</v>
      </c>
      <c r="AL197" s="564">
        <f t="shared" si="297"/>
        <v>87.000000000000014</v>
      </c>
      <c r="AM197" s="473">
        <f t="shared" si="298"/>
        <v>141.99387125458799</v>
      </c>
      <c r="AO197">
        <f t="shared" si="299"/>
        <v>87.000000000000014</v>
      </c>
      <c r="AP197">
        <f t="shared" si="300"/>
        <v>141.99387125458799</v>
      </c>
      <c r="AR197" s="5">
        <f t="shared" si="225"/>
        <v>7.0425574791678818</v>
      </c>
      <c r="AS197" s="5">
        <f t="shared" si="305"/>
        <v>3.9938312977099248</v>
      </c>
      <c r="AT197" s="5">
        <f t="shared" si="306"/>
        <v>3.0487261814579569</v>
      </c>
      <c r="AU197" s="180">
        <f t="shared" si="307"/>
        <v>0.56709956709956721</v>
      </c>
      <c r="AW197" s="5">
        <f t="shared" si="246"/>
        <v>5.5152908396946581</v>
      </c>
      <c r="AX197" s="5">
        <f t="shared" si="247"/>
        <v>2.3164221526717568</v>
      </c>
      <c r="AY197" s="5">
        <f t="shared" si="248"/>
        <v>0.15472285370899128</v>
      </c>
      <c r="AZ197" s="5"/>
      <c r="BA197" s="180">
        <f t="shared" si="249"/>
        <v>0.3157156112319639</v>
      </c>
      <c r="BB197" s="180">
        <f t="shared" si="250"/>
        <v>0.16317414692891</v>
      </c>
      <c r="BC197" s="180">
        <f t="shared" si="251"/>
        <v>0.16686817523565348</v>
      </c>
      <c r="BD197" s="180"/>
      <c r="BE197" s="547">
        <f t="shared" si="252"/>
        <v>3.4886721511450398E-2</v>
      </c>
      <c r="BF197" s="547">
        <f t="shared" si="253"/>
        <v>2.3818181818181818E-2</v>
      </c>
      <c r="BG197" s="547">
        <f t="shared" si="254"/>
        <v>1.7749233906823496E-3</v>
      </c>
      <c r="BH197" s="547">
        <f t="shared" si="255"/>
        <v>4.3567376043092392E-3</v>
      </c>
      <c r="BI197">
        <f t="shared" si="256"/>
        <v>2.8999999999999998E-3</v>
      </c>
      <c r="BJ197" s="473">
        <f t="shared" si="257"/>
        <v>67.736564324623799</v>
      </c>
      <c r="BK197" s="180">
        <f t="shared" si="258"/>
        <v>3.0450000000000001E-2</v>
      </c>
      <c r="BL197" s="180">
        <f t="shared" si="259"/>
        <v>3.0450000000000001E-2</v>
      </c>
      <c r="BM197" s="547"/>
      <c r="BO197" s="473">
        <f t="shared" si="260"/>
        <v>60.900000000000006</v>
      </c>
      <c r="BP197" s="547">
        <f t="shared" si="261"/>
        <v>1.0964398189312982E-2</v>
      </c>
      <c r="BQ197" s="547">
        <f t="shared" si="262"/>
        <v>9.3190307790921292E-4</v>
      </c>
      <c r="BR197" s="547">
        <f t="shared" si="263"/>
        <v>8.3534963719430263E-4</v>
      </c>
      <c r="BS197" s="547">
        <f t="shared" si="264"/>
        <v>5.3977351343344497E-3</v>
      </c>
      <c r="BT197" s="657">
        <f t="shared" si="301"/>
        <v>7.4872727272727285E-2</v>
      </c>
      <c r="BU197" s="473">
        <f t="shared" si="308"/>
        <v>93.002113311478226</v>
      </c>
      <c r="BV197" s="180">
        <f t="shared" si="309"/>
        <v>0.22163867763610204</v>
      </c>
      <c r="BW197" s="5">
        <f t="shared" si="310"/>
        <v>1.8531000000000002</v>
      </c>
      <c r="BX197" s="180">
        <f t="shared" si="311"/>
        <v>0.89317272578702256</v>
      </c>
      <c r="BY197" s="5">
        <f t="shared" si="312"/>
        <v>89.317272578702259</v>
      </c>
      <c r="BZ197">
        <f t="shared" si="313"/>
        <v>87</v>
      </c>
      <c r="CB197" s="582">
        <f t="shared" si="302"/>
        <v>-50</v>
      </c>
      <c r="CC197">
        <f t="shared" si="303"/>
        <v>-50</v>
      </c>
    </row>
    <row r="198" spans="5:81" x14ac:dyDescent="0.25">
      <c r="E198" s="177">
        <v>88</v>
      </c>
      <c r="F198" s="224">
        <f t="shared" si="304"/>
        <v>8.8000000000000009E-2</v>
      </c>
      <c r="G198" s="224">
        <f t="shared" si="271"/>
        <v>8.8000000000000009E-2</v>
      </c>
      <c r="H198" s="224">
        <f t="shared" si="272"/>
        <v>0.5544</v>
      </c>
      <c r="I198" s="224">
        <f t="shared" si="273"/>
        <v>1.32</v>
      </c>
      <c r="J198" s="560">
        <f t="shared" si="274"/>
        <v>10</v>
      </c>
      <c r="K198" s="455">
        <f t="shared" si="275"/>
        <v>13.1</v>
      </c>
      <c r="L198" s="455">
        <f t="shared" si="276"/>
        <v>23.1</v>
      </c>
      <c r="M198" s="455"/>
      <c r="N198" s="224">
        <f t="shared" si="277"/>
        <v>0.5670995670995671</v>
      </c>
      <c r="O198" s="179">
        <f t="shared" si="278"/>
        <v>1.0944622279129324</v>
      </c>
      <c r="P198" s="179">
        <f t="shared" si="279"/>
        <v>2.6058624474117433</v>
      </c>
      <c r="Q198" s="224">
        <f t="shared" si="280"/>
        <v>0.17372416316078293</v>
      </c>
      <c r="R198" s="224">
        <f t="shared" si="281"/>
        <v>7.2964148527528819E-2</v>
      </c>
      <c r="S198" s="224">
        <f t="shared" si="282"/>
        <v>6.3</v>
      </c>
      <c r="T198" s="224">
        <f t="shared" si="283"/>
        <v>0.73449770992366414</v>
      </c>
      <c r="U198" s="224">
        <f t="shared" si="284"/>
        <v>4.0397374045801522</v>
      </c>
      <c r="V198" s="224">
        <f t="shared" si="285"/>
        <v>3.0837690111298879</v>
      </c>
      <c r="W198" s="204">
        <f t="shared" si="286"/>
        <v>350</v>
      </c>
      <c r="X198" s="455">
        <f t="shared" si="287"/>
        <v>140.38030453578591</v>
      </c>
      <c r="Z198" s="224">
        <f t="shared" si="288"/>
        <v>0.29459717771406085</v>
      </c>
      <c r="AA198" s="180">
        <f t="shared" si="289"/>
        <v>1.2368583797155226</v>
      </c>
      <c r="AB198" s="180">
        <f t="shared" si="290"/>
        <v>3.7720509310379111E-2</v>
      </c>
      <c r="AC198" s="180"/>
      <c r="AD198" s="180">
        <f t="shared" si="291"/>
        <v>1.217557251908397</v>
      </c>
      <c r="AE198" s="564">
        <f t="shared" si="292"/>
        <v>842.62499292225789</v>
      </c>
      <c r="AF198" s="547">
        <f t="shared" si="293"/>
        <v>3.6552440597785188E-2</v>
      </c>
      <c r="AH198" s="180">
        <f t="shared" si="294"/>
        <v>0.44129679031560742</v>
      </c>
      <c r="AI198" s="180">
        <f t="shared" si="295"/>
        <v>0.73449770992366414</v>
      </c>
      <c r="AJ198" s="180">
        <f t="shared" si="296"/>
        <v>1.5292575629064178</v>
      </c>
      <c r="AL198" s="564">
        <f t="shared" si="297"/>
        <v>88.000000000000014</v>
      </c>
      <c r="AM198" s="473">
        <f t="shared" si="298"/>
        <v>140.38030453578591</v>
      </c>
      <c r="AO198">
        <f t="shared" si="299"/>
        <v>88.000000000000014</v>
      </c>
      <c r="AP198">
        <f t="shared" si="300"/>
        <v>140.38030453578591</v>
      </c>
      <c r="AR198" s="5">
        <f t="shared" ref="AR198:AR262" si="314">1/AM198*1000</f>
        <v>7.1235064157100396</v>
      </c>
      <c r="AS198" s="5">
        <f t="shared" si="305"/>
        <v>4.0397374045801522</v>
      </c>
      <c r="AT198" s="5">
        <f t="shared" si="306"/>
        <v>3.0837690111298874</v>
      </c>
      <c r="AU198" s="180">
        <f t="shared" si="307"/>
        <v>0.5670995670995671</v>
      </c>
      <c r="AW198" s="5">
        <f t="shared" si="246"/>
        <v>5.6428078032230706</v>
      </c>
      <c r="AX198" s="5">
        <f t="shared" si="247"/>
        <v>2.3699792773536896</v>
      </c>
      <c r="AY198" s="5">
        <f t="shared" si="248"/>
        <v>0.15830014257133421</v>
      </c>
      <c r="AZ198" s="5"/>
      <c r="BA198" s="180">
        <f t="shared" si="249"/>
        <v>0.31934452630359561</v>
      </c>
      <c r="BB198" s="180">
        <f t="shared" si="250"/>
        <v>0.16504971183613884</v>
      </c>
      <c r="BC198" s="180">
        <f t="shared" si="251"/>
        <v>0.16878620023836213</v>
      </c>
      <c r="BD198" s="180"/>
      <c r="BE198" s="547">
        <f t="shared" si="252"/>
        <v>3.5693324268023754E-2</v>
      </c>
      <c r="BF198" s="547">
        <f t="shared" si="253"/>
        <v>2.3818181818181825E-2</v>
      </c>
      <c r="BG198" s="547">
        <f t="shared" si="254"/>
        <v>1.7547538066973237E-3</v>
      </c>
      <c r="BH198" s="547">
        <f t="shared" si="255"/>
        <v>4.3072292224420917E-3</v>
      </c>
      <c r="BI198">
        <f t="shared" si="256"/>
        <v>2.8999999999999998E-3</v>
      </c>
      <c r="BJ198" s="473">
        <f t="shared" si="257"/>
        <v>68.473489115344989</v>
      </c>
      <c r="BK198" s="180">
        <f t="shared" si="258"/>
        <v>3.0800000000000001E-2</v>
      </c>
      <c r="BL198" s="180">
        <f t="shared" si="259"/>
        <v>3.0800000000000001E-2</v>
      </c>
      <c r="BM198" s="547"/>
      <c r="BO198" s="473">
        <f t="shared" si="260"/>
        <v>61.6</v>
      </c>
      <c r="BP198" s="547">
        <f t="shared" si="261"/>
        <v>1.1217901912807466E-2</v>
      </c>
      <c r="BQ198" s="547">
        <f t="shared" si="262"/>
        <v>9.5344925820173656E-4</v>
      </c>
      <c r="BR198" s="547">
        <f t="shared" si="263"/>
        <v>8.5466344172713423E-4</v>
      </c>
      <c r="BS198" s="547">
        <f t="shared" si="264"/>
        <v>5.3977351343344575E-3</v>
      </c>
      <c r="BT198" s="657">
        <f t="shared" si="301"/>
        <v>7.5733333333333361E-2</v>
      </c>
      <c r="BU198" s="473">
        <f t="shared" si="308"/>
        <v>94.157083080404163</v>
      </c>
      <c r="BV198" s="180">
        <f t="shared" si="309"/>
        <v>0.22423057219574916</v>
      </c>
      <c r="BW198" s="5">
        <f t="shared" si="310"/>
        <v>1.8744000000000001</v>
      </c>
      <c r="BX198" s="180">
        <f t="shared" si="311"/>
        <v>0.89315386177704348</v>
      </c>
      <c r="BY198" s="5">
        <f t="shared" si="312"/>
        <v>89.315386177704355</v>
      </c>
      <c r="BZ198">
        <f t="shared" si="313"/>
        <v>88</v>
      </c>
      <c r="CB198" s="582">
        <f t="shared" si="302"/>
        <v>-50</v>
      </c>
      <c r="CC198">
        <f t="shared" si="303"/>
        <v>-50</v>
      </c>
    </row>
    <row r="199" spans="5:81" x14ac:dyDescent="0.25">
      <c r="E199" s="177">
        <v>89</v>
      </c>
      <c r="F199" s="224">
        <f t="shared" si="304"/>
        <v>8.900000000000001E-2</v>
      </c>
      <c r="G199" s="224">
        <f t="shared" si="271"/>
        <v>8.900000000000001E-2</v>
      </c>
      <c r="H199" s="224">
        <f t="shared" si="272"/>
        <v>0.56070000000000009</v>
      </c>
      <c r="I199" s="224">
        <f t="shared" si="273"/>
        <v>1.3350000000000002</v>
      </c>
      <c r="J199" s="560">
        <f t="shared" si="274"/>
        <v>10</v>
      </c>
      <c r="K199" s="455">
        <f t="shared" si="275"/>
        <v>13.1</v>
      </c>
      <c r="L199" s="455">
        <f t="shared" si="276"/>
        <v>23.1</v>
      </c>
      <c r="M199" s="455"/>
      <c r="N199" s="224">
        <f t="shared" si="277"/>
        <v>0.5670995670995671</v>
      </c>
      <c r="O199" s="179">
        <f t="shared" si="278"/>
        <v>1.0944622279129324</v>
      </c>
      <c r="P199" s="179">
        <f t="shared" si="279"/>
        <v>2.6058624474117433</v>
      </c>
      <c r="Q199" s="224">
        <f t="shared" si="280"/>
        <v>0.17372416316078293</v>
      </c>
      <c r="R199" s="224">
        <f t="shared" si="281"/>
        <v>7.2964148527528819E-2</v>
      </c>
      <c r="S199" s="224">
        <f t="shared" si="282"/>
        <v>6.3</v>
      </c>
      <c r="T199" s="224">
        <f t="shared" si="283"/>
        <v>0.74284427480916038</v>
      </c>
      <c r="U199" s="224">
        <f t="shared" si="284"/>
        <v>4.0856435114503817</v>
      </c>
      <c r="V199" s="224">
        <f t="shared" si="285"/>
        <v>3.1188118408018184</v>
      </c>
      <c r="W199" s="204">
        <f t="shared" si="286"/>
        <v>350</v>
      </c>
      <c r="X199" s="455">
        <f t="shared" si="287"/>
        <v>138.80299774324894</v>
      </c>
      <c r="Z199" s="224">
        <f t="shared" si="288"/>
        <v>0.29459717771406085</v>
      </c>
      <c r="AA199" s="180">
        <f t="shared" si="289"/>
        <v>1.2368583797155226</v>
      </c>
      <c r="AB199" s="180">
        <f t="shared" si="290"/>
        <v>3.7720509310379111E-2</v>
      </c>
      <c r="AC199" s="180"/>
      <c r="AD199" s="180">
        <f t="shared" si="291"/>
        <v>1.217557251908397</v>
      </c>
      <c r="AE199" s="564">
        <f t="shared" si="292"/>
        <v>852.20027693273823</v>
      </c>
      <c r="AF199" s="547">
        <f t="shared" si="293"/>
        <v>3.6552440597785188E-2</v>
      </c>
      <c r="AH199" s="180">
        <f t="shared" si="294"/>
        <v>0.44379707542506874</v>
      </c>
      <c r="AI199" s="180">
        <f t="shared" si="295"/>
        <v>0.74284427480916038</v>
      </c>
      <c r="AJ199" s="180">
        <f t="shared" si="296"/>
        <v>1.5354402035623411</v>
      </c>
      <c r="AL199" s="564">
        <f t="shared" si="297"/>
        <v>89.000000000000014</v>
      </c>
      <c r="AM199" s="473">
        <f t="shared" si="298"/>
        <v>138.80299774324894</v>
      </c>
      <c r="AO199">
        <f t="shared" si="299"/>
        <v>89.000000000000014</v>
      </c>
      <c r="AP199">
        <f t="shared" si="300"/>
        <v>138.80299774324894</v>
      </c>
      <c r="AR199" s="5">
        <f t="shared" si="314"/>
        <v>7.204455352252201</v>
      </c>
      <c r="AS199" s="5">
        <f t="shared" si="305"/>
        <v>4.0856435114503817</v>
      </c>
      <c r="AT199" s="5">
        <f t="shared" si="306"/>
        <v>3.1188118408018193</v>
      </c>
      <c r="AU199" s="180">
        <f t="shared" si="307"/>
        <v>0.56709956709956699</v>
      </c>
      <c r="AW199" s="5">
        <f t="shared" si="246"/>
        <v>5.7717821034775243</v>
      </c>
      <c r="AX199" s="5">
        <f t="shared" si="247"/>
        <v>2.4241484834605602</v>
      </c>
      <c r="AY199" s="5">
        <f t="shared" si="248"/>
        <v>0.16191831473496113</v>
      </c>
      <c r="AZ199" s="5"/>
      <c r="BA199" s="180">
        <f t="shared" si="249"/>
        <v>0.32297344137522732</v>
      </c>
      <c r="BB199" s="180">
        <f t="shared" si="250"/>
        <v>0.16692527674336774</v>
      </c>
      <c r="BC199" s="180">
        <f t="shared" si="251"/>
        <v>0.17070422524107084</v>
      </c>
      <c r="BD199" s="180"/>
      <c r="BE199" s="547">
        <f t="shared" si="252"/>
        <v>3.650914534181509E-2</v>
      </c>
      <c r="BF199" s="547">
        <f t="shared" si="253"/>
        <v>2.3818181818181818E-2</v>
      </c>
      <c r="BG199" s="547">
        <f t="shared" si="254"/>
        <v>1.7350374717906116E-3</v>
      </c>
      <c r="BH199" s="547">
        <f t="shared" si="255"/>
        <v>4.258833388482066E-3</v>
      </c>
      <c r="BI199">
        <f t="shared" si="256"/>
        <v>2.8999999999999998E-3</v>
      </c>
      <c r="BJ199" s="473">
        <f t="shared" si="257"/>
        <v>69.221198020269568</v>
      </c>
      <c r="BK199" s="180">
        <f t="shared" si="258"/>
        <v>3.1150000000000001E-2</v>
      </c>
      <c r="BL199" s="180">
        <f t="shared" si="259"/>
        <v>3.1150000000000001E-2</v>
      </c>
      <c r="BM199" s="547"/>
      <c r="BO199" s="473">
        <f t="shared" si="260"/>
        <v>62.300000000000004</v>
      </c>
      <c r="BP199" s="547">
        <f t="shared" si="261"/>
        <v>1.1474302821713314E-2</v>
      </c>
      <c r="BQ199" s="547">
        <f t="shared" si="262"/>
        <v>9.7524168055474684E-4</v>
      </c>
      <c r="BR199" s="547">
        <f t="shared" si="263"/>
        <v>8.7419797545462751E-4</v>
      </c>
      <c r="BS199" s="547">
        <f t="shared" si="264"/>
        <v>5.3977351343344514E-3</v>
      </c>
      <c r="BT199" s="657">
        <f t="shared" si="301"/>
        <v>7.6593939393939409E-2</v>
      </c>
      <c r="BU199" s="473">
        <f t="shared" si="308"/>
        <v>95.315417005996551</v>
      </c>
      <c r="BV199" s="180">
        <f t="shared" si="309"/>
        <v>0.22683661502626609</v>
      </c>
      <c r="BW199" s="5">
        <f t="shared" si="310"/>
        <v>1.8957000000000002</v>
      </c>
      <c r="BX199" s="180">
        <f t="shared" si="311"/>
        <v>0.89312946904171131</v>
      </c>
      <c r="BY199" s="5">
        <f t="shared" si="312"/>
        <v>89.312946904171127</v>
      </c>
      <c r="BZ199">
        <f t="shared" si="313"/>
        <v>89</v>
      </c>
      <c r="CB199" s="582">
        <f t="shared" si="302"/>
        <v>-50</v>
      </c>
      <c r="CC199">
        <f t="shared" si="303"/>
        <v>-50</v>
      </c>
    </row>
    <row r="200" spans="5:81" x14ac:dyDescent="0.25">
      <c r="E200" s="177">
        <v>90</v>
      </c>
      <c r="F200" s="224">
        <f t="shared" si="304"/>
        <v>9.0000000000000011E-2</v>
      </c>
      <c r="G200" s="224">
        <f t="shared" si="271"/>
        <v>9.0000000000000011E-2</v>
      </c>
      <c r="H200" s="224">
        <f t="shared" si="272"/>
        <v>0.56700000000000006</v>
      </c>
      <c r="I200" s="224">
        <f t="shared" si="273"/>
        <v>1.35</v>
      </c>
      <c r="J200" s="560">
        <f t="shared" si="274"/>
        <v>10</v>
      </c>
      <c r="K200" s="455">
        <f t="shared" si="275"/>
        <v>13.1</v>
      </c>
      <c r="L200" s="455">
        <f t="shared" si="276"/>
        <v>23.1</v>
      </c>
      <c r="M200" s="455"/>
      <c r="N200" s="224">
        <f t="shared" si="277"/>
        <v>0.5670995670995671</v>
      </c>
      <c r="O200" s="179">
        <f t="shared" si="278"/>
        <v>1.0944622279129324</v>
      </c>
      <c r="P200" s="179">
        <f t="shared" si="279"/>
        <v>2.6058624474117433</v>
      </c>
      <c r="Q200" s="224">
        <f t="shared" si="280"/>
        <v>0.17372416316078293</v>
      </c>
      <c r="R200" s="224">
        <f t="shared" si="281"/>
        <v>7.2964148527528819E-2</v>
      </c>
      <c r="S200" s="224">
        <f t="shared" si="282"/>
        <v>6.3</v>
      </c>
      <c r="T200" s="224">
        <f t="shared" si="283"/>
        <v>0.75119083969465661</v>
      </c>
      <c r="U200" s="224">
        <f t="shared" si="284"/>
        <v>4.1315496183206113</v>
      </c>
      <c r="V200" s="224">
        <f t="shared" si="285"/>
        <v>3.1538546704737493</v>
      </c>
      <c r="W200" s="204">
        <f t="shared" si="286"/>
        <v>350</v>
      </c>
      <c r="X200" s="455">
        <f t="shared" si="287"/>
        <v>137.26074221276841</v>
      </c>
      <c r="Z200" s="224">
        <f t="shared" si="288"/>
        <v>0.29459717771406085</v>
      </c>
      <c r="AA200" s="180">
        <f t="shared" si="289"/>
        <v>1.2368583797155226</v>
      </c>
      <c r="AB200" s="180">
        <f t="shared" si="290"/>
        <v>3.7720509310379111E-2</v>
      </c>
      <c r="AC200" s="180"/>
      <c r="AD200" s="180">
        <f t="shared" si="291"/>
        <v>1.217557251908397</v>
      </c>
      <c r="AE200" s="564">
        <f t="shared" si="292"/>
        <v>861.77556094321847</v>
      </c>
      <c r="AF200" s="547">
        <f t="shared" si="293"/>
        <v>3.6552440597785188E-2</v>
      </c>
      <c r="AH200" s="180">
        <f t="shared" si="294"/>
        <v>0.44628335300437905</v>
      </c>
      <c r="AI200" s="180">
        <f t="shared" si="295"/>
        <v>0.75119083969465661</v>
      </c>
      <c r="AJ200" s="180">
        <f t="shared" si="296"/>
        <v>1.541622844218264</v>
      </c>
      <c r="AL200" s="564">
        <f t="shared" si="297"/>
        <v>90.000000000000014</v>
      </c>
      <c r="AM200" s="473">
        <f t="shared" si="298"/>
        <v>137.26074221276841</v>
      </c>
      <c r="AO200">
        <f t="shared" si="299"/>
        <v>90.000000000000014</v>
      </c>
      <c r="AP200">
        <f t="shared" si="300"/>
        <v>137.26074221276841</v>
      </c>
      <c r="AR200" s="5">
        <f t="shared" si="314"/>
        <v>7.2854042887943598</v>
      </c>
      <c r="AS200" s="5">
        <f t="shared" si="305"/>
        <v>4.1315496183206113</v>
      </c>
      <c r="AT200" s="5">
        <f t="shared" si="306"/>
        <v>3.1538546704737485</v>
      </c>
      <c r="AU200" s="180">
        <f t="shared" si="307"/>
        <v>0.5670995670995671</v>
      </c>
      <c r="AW200" s="5">
        <f t="shared" si="246"/>
        <v>5.9022137404580173</v>
      </c>
      <c r="AX200" s="5">
        <f t="shared" si="247"/>
        <v>2.4789297709923672</v>
      </c>
      <c r="AY200" s="5">
        <f t="shared" si="248"/>
        <v>0.16557737019987176</v>
      </c>
      <c r="AZ200" s="5"/>
      <c r="BA200" s="180">
        <f t="shared" si="249"/>
        <v>0.32660235644685914</v>
      </c>
      <c r="BB200" s="180">
        <f t="shared" si="250"/>
        <v>0.16880084165059658</v>
      </c>
      <c r="BC200" s="180">
        <f t="shared" si="251"/>
        <v>0.17262225024377947</v>
      </c>
      <c r="BD200" s="180"/>
      <c r="BE200" s="547">
        <f t="shared" si="252"/>
        <v>3.7334184732824433E-2</v>
      </c>
      <c r="BF200" s="547">
        <f t="shared" si="253"/>
        <v>2.3818181818181822E-2</v>
      </c>
      <c r="BG200" s="547">
        <f t="shared" si="254"/>
        <v>1.715759277659605E-3</v>
      </c>
      <c r="BH200" s="547">
        <f t="shared" si="255"/>
        <v>4.2115130174989321E-3</v>
      </c>
      <c r="BI200">
        <f t="shared" si="256"/>
        <v>2.8999999999999998E-3</v>
      </c>
      <c r="BJ200" s="473">
        <f t="shared" si="257"/>
        <v>69.979638846164789</v>
      </c>
      <c r="BK200" s="180">
        <f t="shared" si="258"/>
        <v>3.15E-2</v>
      </c>
      <c r="BL200" s="180">
        <f t="shared" si="259"/>
        <v>3.15E-2</v>
      </c>
      <c r="BM200" s="547"/>
      <c r="BO200" s="473">
        <f t="shared" si="260"/>
        <v>63</v>
      </c>
      <c r="BP200" s="547">
        <f t="shared" si="261"/>
        <v>1.1733600916030536E-2</v>
      </c>
      <c r="BQ200" s="547">
        <f t="shared" si="262"/>
        <v>9.9728034496824247E-4</v>
      </c>
      <c r="BR200" s="547">
        <f t="shared" si="263"/>
        <v>8.9395323837678062E-4</v>
      </c>
      <c r="BS200" s="547">
        <f t="shared" si="264"/>
        <v>5.3977351343344557E-3</v>
      </c>
      <c r="BT200" s="657">
        <f t="shared" si="301"/>
        <v>7.7454545454545484E-2</v>
      </c>
      <c r="BU200" s="473">
        <f t="shared" si="308"/>
        <v>96.477115088255502</v>
      </c>
      <c r="BV200" s="180">
        <f t="shared" si="309"/>
        <v>0.22945675393442028</v>
      </c>
      <c r="BW200" s="5">
        <f t="shared" si="310"/>
        <v>1.9170000000000003</v>
      </c>
      <c r="BX200" s="180">
        <f t="shared" si="311"/>
        <v>0.89309975450759505</v>
      </c>
      <c r="BY200" s="5">
        <f t="shared" si="312"/>
        <v>89.309975450759509</v>
      </c>
      <c r="BZ200">
        <f t="shared" si="313"/>
        <v>90</v>
      </c>
      <c r="CB200" s="582">
        <f t="shared" si="302"/>
        <v>-50</v>
      </c>
      <c r="CC200">
        <f t="shared" si="303"/>
        <v>-50</v>
      </c>
    </row>
    <row r="201" spans="5:81" x14ac:dyDescent="0.25">
      <c r="E201" s="177">
        <v>91</v>
      </c>
      <c r="F201" s="224">
        <f t="shared" si="304"/>
        <v>9.1000000000000011E-2</v>
      </c>
      <c r="G201" s="224">
        <f t="shared" si="271"/>
        <v>9.1000000000000011E-2</v>
      </c>
      <c r="H201" s="224">
        <f t="shared" si="272"/>
        <v>0.57330000000000003</v>
      </c>
      <c r="I201" s="224">
        <f t="shared" si="273"/>
        <v>1.3650000000000002</v>
      </c>
      <c r="J201" s="560">
        <f t="shared" si="274"/>
        <v>10</v>
      </c>
      <c r="K201" s="455">
        <f t="shared" si="275"/>
        <v>13.1</v>
      </c>
      <c r="L201" s="455">
        <f t="shared" si="276"/>
        <v>23.1</v>
      </c>
      <c r="M201" s="455"/>
      <c r="N201" s="224">
        <f t="shared" si="277"/>
        <v>0.5670995670995671</v>
      </c>
      <c r="O201" s="179">
        <f t="shared" si="278"/>
        <v>1.0944622279129324</v>
      </c>
      <c r="P201" s="179">
        <f t="shared" si="279"/>
        <v>2.6058624474117433</v>
      </c>
      <c r="Q201" s="224">
        <f t="shared" si="280"/>
        <v>0.17372416316078293</v>
      </c>
      <c r="R201" s="224">
        <f t="shared" si="281"/>
        <v>7.2964148527528819E-2</v>
      </c>
      <c r="S201" s="224">
        <f t="shared" si="282"/>
        <v>6.3</v>
      </c>
      <c r="T201" s="224">
        <f t="shared" si="283"/>
        <v>0.75953740458015284</v>
      </c>
      <c r="U201" s="224">
        <f t="shared" si="284"/>
        <v>4.17745572519084</v>
      </c>
      <c r="V201" s="224">
        <f t="shared" si="285"/>
        <v>3.1888975001456799</v>
      </c>
      <c r="W201" s="204">
        <f t="shared" si="286"/>
        <v>350</v>
      </c>
      <c r="X201" s="455">
        <f t="shared" si="287"/>
        <v>135.75238240823248</v>
      </c>
      <c r="Z201" s="224">
        <f t="shared" si="288"/>
        <v>0.29459717771406085</v>
      </c>
      <c r="AA201" s="180">
        <f t="shared" si="289"/>
        <v>1.2368583797155226</v>
      </c>
      <c r="AB201" s="180">
        <f t="shared" si="290"/>
        <v>3.7720509310379111E-2</v>
      </c>
      <c r="AC201" s="180"/>
      <c r="AD201" s="180">
        <f t="shared" si="291"/>
        <v>1.217557251908397</v>
      </c>
      <c r="AE201" s="564">
        <f t="shared" si="292"/>
        <v>871.35084495369881</v>
      </c>
      <c r="AF201" s="547">
        <f t="shared" si="293"/>
        <v>3.6552440597785188E-2</v>
      </c>
      <c r="AH201" s="180">
        <f t="shared" si="294"/>
        <v>0.44875585587468186</v>
      </c>
      <c r="AI201" s="180">
        <f t="shared" si="295"/>
        <v>0.75953740458015284</v>
      </c>
      <c r="AJ201" s="180">
        <f t="shared" si="296"/>
        <v>1.5478054848741873</v>
      </c>
      <c r="AL201" s="564">
        <f t="shared" si="297"/>
        <v>91.000000000000014</v>
      </c>
      <c r="AM201" s="473">
        <f t="shared" si="298"/>
        <v>135.75238240823248</v>
      </c>
      <c r="AO201">
        <f t="shared" si="299"/>
        <v>91.000000000000014</v>
      </c>
      <c r="AP201">
        <f t="shared" si="300"/>
        <v>135.75238240823248</v>
      </c>
      <c r="AR201" s="5">
        <f t="shared" si="314"/>
        <v>7.3663532253365203</v>
      </c>
      <c r="AS201" s="5">
        <f t="shared" si="305"/>
        <v>4.17745572519084</v>
      </c>
      <c r="AT201" s="5">
        <f t="shared" si="306"/>
        <v>3.1888975001456803</v>
      </c>
      <c r="AU201" s="180">
        <f t="shared" si="307"/>
        <v>0.56709956709956699</v>
      </c>
      <c r="AW201" s="5">
        <f t="shared" si="246"/>
        <v>6.0341027141645469</v>
      </c>
      <c r="AX201" s="5">
        <f t="shared" si="247"/>
        <v>2.5343231399491097</v>
      </c>
      <c r="AY201" s="5">
        <f t="shared" si="248"/>
        <v>0.16927730896606652</v>
      </c>
      <c r="AZ201" s="5"/>
      <c r="BA201" s="180">
        <f t="shared" si="249"/>
        <v>0.33023127151849091</v>
      </c>
      <c r="BB201" s="180">
        <f t="shared" si="250"/>
        <v>0.17067640655782546</v>
      </c>
      <c r="BC201" s="180">
        <f t="shared" si="251"/>
        <v>0.17454027524648819</v>
      </c>
      <c r="BD201" s="180"/>
      <c r="BE201" s="547">
        <f t="shared" si="252"/>
        <v>3.8168442441051741E-2</v>
      </c>
      <c r="BF201" s="547">
        <f t="shared" si="253"/>
        <v>2.3818181818181822E-2</v>
      </c>
      <c r="BG201" s="547">
        <f t="shared" si="254"/>
        <v>1.6969047801029058E-3</v>
      </c>
      <c r="BH201" s="547">
        <f t="shared" si="255"/>
        <v>4.1652326546692733E-3</v>
      </c>
      <c r="BI201">
        <f t="shared" si="256"/>
        <v>2.8999999999999998E-3</v>
      </c>
      <c r="BJ201" s="473">
        <f t="shared" si="257"/>
        <v>70.748761694005736</v>
      </c>
      <c r="BK201" s="180">
        <f t="shared" si="258"/>
        <v>3.1850000000000003E-2</v>
      </c>
      <c r="BL201" s="180">
        <f t="shared" si="259"/>
        <v>3.1850000000000003E-2</v>
      </c>
      <c r="BM201" s="547"/>
      <c r="BO201" s="473">
        <f t="shared" si="260"/>
        <v>63.70000000000001</v>
      </c>
      <c r="BP201" s="547">
        <f t="shared" si="261"/>
        <v>1.199579619575912E-2</v>
      </c>
      <c r="BQ201" s="547">
        <f t="shared" si="262"/>
        <v>1.0195652514422245E-3</v>
      </c>
      <c r="BR201" s="547">
        <f t="shared" si="263"/>
        <v>9.1392923049359563E-4</v>
      </c>
      <c r="BS201" s="547">
        <f t="shared" si="264"/>
        <v>5.3977351343344549E-3</v>
      </c>
      <c r="BT201" s="657">
        <f t="shared" si="301"/>
        <v>7.8315151515151532E-2</v>
      </c>
      <c r="BU201" s="473">
        <f t="shared" si="308"/>
        <v>97.642177327180931</v>
      </c>
      <c r="BV201" s="180">
        <f t="shared" si="309"/>
        <v>0.23209093902118666</v>
      </c>
      <c r="BW201" s="5">
        <f t="shared" si="310"/>
        <v>1.9383000000000004</v>
      </c>
      <c r="BX201" s="180">
        <f t="shared" si="311"/>
        <v>0.89306491524247889</v>
      </c>
      <c r="BY201" s="5">
        <f t="shared" si="312"/>
        <v>89.306491524247889</v>
      </c>
      <c r="BZ201">
        <f t="shared" si="313"/>
        <v>91</v>
      </c>
      <c r="CB201" s="582">
        <f t="shared" si="302"/>
        <v>-50</v>
      </c>
      <c r="CC201">
        <f t="shared" si="303"/>
        <v>-50</v>
      </c>
    </row>
    <row r="202" spans="5:81" x14ac:dyDescent="0.25">
      <c r="E202" s="177">
        <v>92</v>
      </c>
      <c r="F202" s="224">
        <f t="shared" si="304"/>
        <v>9.2000000000000012E-2</v>
      </c>
      <c r="G202" s="224">
        <f t="shared" si="271"/>
        <v>9.2000000000000012E-2</v>
      </c>
      <c r="H202" s="224">
        <f t="shared" si="272"/>
        <v>0.57960000000000012</v>
      </c>
      <c r="I202" s="224">
        <f t="shared" si="273"/>
        <v>1.3800000000000001</v>
      </c>
      <c r="J202" s="560">
        <f t="shared" si="274"/>
        <v>10</v>
      </c>
      <c r="K202" s="455">
        <f t="shared" si="275"/>
        <v>13.1</v>
      </c>
      <c r="L202" s="455">
        <f t="shared" si="276"/>
        <v>23.1</v>
      </c>
      <c r="M202" s="455"/>
      <c r="N202" s="224">
        <f t="shared" si="277"/>
        <v>0.5670995670995671</v>
      </c>
      <c r="O202" s="179">
        <f t="shared" si="278"/>
        <v>1.0944622279129324</v>
      </c>
      <c r="P202" s="179">
        <f t="shared" si="279"/>
        <v>2.6058624474117433</v>
      </c>
      <c r="Q202" s="224">
        <f t="shared" si="280"/>
        <v>0.17372416316078293</v>
      </c>
      <c r="R202" s="224">
        <f t="shared" si="281"/>
        <v>7.2964148527528819E-2</v>
      </c>
      <c r="S202" s="224">
        <f t="shared" si="282"/>
        <v>6.3</v>
      </c>
      <c r="T202" s="224">
        <f t="shared" si="283"/>
        <v>0.76788396946564896</v>
      </c>
      <c r="U202" s="224">
        <f t="shared" si="284"/>
        <v>4.2233618320610695</v>
      </c>
      <c r="V202" s="224">
        <f t="shared" si="285"/>
        <v>3.2239403298176108</v>
      </c>
      <c r="W202" s="204">
        <f t="shared" si="286"/>
        <v>350</v>
      </c>
      <c r="X202" s="455">
        <f t="shared" si="287"/>
        <v>134.27681303422995</v>
      </c>
      <c r="Z202" s="224">
        <f t="shared" si="288"/>
        <v>0.29459717771406085</v>
      </c>
      <c r="AA202" s="180">
        <f t="shared" si="289"/>
        <v>1.2368583797155226</v>
      </c>
      <c r="AB202" s="180">
        <f t="shared" si="290"/>
        <v>3.7720509310379111E-2</v>
      </c>
      <c r="AC202" s="180"/>
      <c r="AD202" s="180">
        <f t="shared" si="291"/>
        <v>1.217557251908397</v>
      </c>
      <c r="AE202" s="564">
        <f t="shared" si="292"/>
        <v>880.9261289641787</v>
      </c>
      <c r="AF202" s="547">
        <f t="shared" si="293"/>
        <v>3.6552440597785188E-2</v>
      </c>
      <c r="AH202" s="180">
        <f t="shared" si="294"/>
        <v>0.4512148104781194</v>
      </c>
      <c r="AI202" s="180">
        <f t="shared" si="295"/>
        <v>0.76788396946564896</v>
      </c>
      <c r="AJ202" s="180">
        <f t="shared" si="296"/>
        <v>1.5539881255301102</v>
      </c>
      <c r="AL202" s="564">
        <f t="shared" si="297"/>
        <v>92.000000000000014</v>
      </c>
      <c r="AM202" s="473">
        <f t="shared" si="298"/>
        <v>134.27681303422995</v>
      </c>
      <c r="AO202">
        <f t="shared" si="299"/>
        <v>92.000000000000014</v>
      </c>
      <c r="AP202">
        <f t="shared" si="300"/>
        <v>134.27681303422995</v>
      </c>
      <c r="AR202" s="5">
        <f t="shared" si="314"/>
        <v>7.4473021618786799</v>
      </c>
      <c r="AS202" s="5">
        <f t="shared" si="305"/>
        <v>4.2233618320610695</v>
      </c>
      <c r="AT202" s="5">
        <f t="shared" si="306"/>
        <v>3.2239403298176104</v>
      </c>
      <c r="AU202" s="180">
        <f t="shared" si="307"/>
        <v>0.5670995670995671</v>
      </c>
      <c r="AW202" s="5">
        <f t="shared" si="246"/>
        <v>6.1674490245971176</v>
      </c>
      <c r="AX202" s="5">
        <f t="shared" si="247"/>
        <v>2.5903285903307895</v>
      </c>
      <c r="AY202" s="5">
        <f t="shared" si="248"/>
        <v>0.1730181310335451</v>
      </c>
      <c r="AZ202" s="5"/>
      <c r="BA202" s="180">
        <f t="shared" si="249"/>
        <v>0.33386018659012268</v>
      </c>
      <c r="BB202" s="180">
        <f t="shared" si="250"/>
        <v>0.17255197146505427</v>
      </c>
      <c r="BC202" s="180">
        <f t="shared" si="251"/>
        <v>0.17645830024919679</v>
      </c>
      <c r="BD202" s="180"/>
      <c r="BE202" s="547">
        <f t="shared" si="252"/>
        <v>3.9011918466497035E-2</v>
      </c>
      <c r="BF202" s="547">
        <f t="shared" si="253"/>
        <v>2.3818181818181822E-2</v>
      </c>
      <c r="BG202" s="547">
        <f t="shared" si="254"/>
        <v>1.6784601629278742E-3</v>
      </c>
      <c r="BH202" s="547">
        <f t="shared" si="255"/>
        <v>4.1199583866837379E-3</v>
      </c>
      <c r="BI202">
        <f t="shared" si="256"/>
        <v>2.8999999999999998E-3</v>
      </c>
      <c r="BJ202" s="473">
        <f t="shared" si="257"/>
        <v>71.528518834290466</v>
      </c>
      <c r="BK202" s="180">
        <f t="shared" si="258"/>
        <v>3.2199999999999999E-2</v>
      </c>
      <c r="BL202" s="180">
        <f t="shared" si="259"/>
        <v>3.2199999999999999E-2</v>
      </c>
      <c r="BM202" s="547"/>
      <c r="BO202" s="473">
        <f t="shared" si="260"/>
        <v>64.400000000000006</v>
      </c>
      <c r="BP202" s="547">
        <f t="shared" si="261"/>
        <v>1.2260888660899069E-2</v>
      </c>
      <c r="BQ202" s="547">
        <f t="shared" si="262"/>
        <v>1.0420963999766917E-3</v>
      </c>
      <c r="BR202" s="547">
        <f t="shared" si="263"/>
        <v>9.3412595180507037E-4</v>
      </c>
      <c r="BS202" s="547">
        <f t="shared" si="264"/>
        <v>5.3977351343344523E-3</v>
      </c>
      <c r="BT202" s="657">
        <f t="shared" si="301"/>
        <v>7.9175757575757594E-2</v>
      </c>
      <c r="BU202" s="473">
        <f t="shared" si="308"/>
        <v>98.810603722772882</v>
      </c>
      <c r="BV202" s="180">
        <f t="shared" si="309"/>
        <v>0.23473912255706333</v>
      </c>
      <c r="BW202" s="5">
        <f t="shared" si="310"/>
        <v>1.9596000000000002</v>
      </c>
      <c r="BX202" s="180">
        <f t="shared" si="311"/>
        <v>0.89302513902977687</v>
      </c>
      <c r="BY202" s="5">
        <f t="shared" si="312"/>
        <v>89.302513902977694</v>
      </c>
      <c r="BZ202">
        <f t="shared" si="313"/>
        <v>92</v>
      </c>
      <c r="CB202" s="582">
        <f t="shared" si="302"/>
        <v>-50</v>
      </c>
      <c r="CC202">
        <f t="shared" si="303"/>
        <v>-50</v>
      </c>
    </row>
    <row r="203" spans="5:81" x14ac:dyDescent="0.25">
      <c r="E203" s="177">
        <v>93</v>
      </c>
      <c r="F203" s="224">
        <f t="shared" si="304"/>
        <v>9.3000000000000013E-2</v>
      </c>
      <c r="G203" s="224">
        <f t="shared" si="271"/>
        <v>9.3000000000000013E-2</v>
      </c>
      <c r="H203" s="224">
        <f t="shared" si="272"/>
        <v>0.58590000000000009</v>
      </c>
      <c r="I203" s="224">
        <f t="shared" si="273"/>
        <v>1.3950000000000002</v>
      </c>
      <c r="J203" s="560">
        <f t="shared" si="274"/>
        <v>10</v>
      </c>
      <c r="K203" s="455">
        <f t="shared" si="275"/>
        <v>13.1</v>
      </c>
      <c r="L203" s="455">
        <f t="shared" si="276"/>
        <v>23.1</v>
      </c>
      <c r="M203" s="455"/>
      <c r="N203" s="224">
        <f t="shared" si="277"/>
        <v>0.5670995670995671</v>
      </c>
      <c r="O203" s="179">
        <f t="shared" si="278"/>
        <v>1.0944622279129324</v>
      </c>
      <c r="P203" s="179">
        <f t="shared" si="279"/>
        <v>2.6058624474117433</v>
      </c>
      <c r="Q203" s="224">
        <f t="shared" si="280"/>
        <v>0.17372416316078293</v>
      </c>
      <c r="R203" s="224">
        <f t="shared" si="281"/>
        <v>7.2964148527528819E-2</v>
      </c>
      <c r="S203" s="224">
        <f t="shared" si="282"/>
        <v>6.3</v>
      </c>
      <c r="T203" s="224">
        <f t="shared" si="283"/>
        <v>0.7762305343511452</v>
      </c>
      <c r="U203" s="224">
        <f t="shared" si="284"/>
        <v>4.2692679389312991</v>
      </c>
      <c r="V203" s="224">
        <f t="shared" si="285"/>
        <v>3.2589831594895409</v>
      </c>
      <c r="W203" s="204">
        <f t="shared" si="286"/>
        <v>350</v>
      </c>
      <c r="X203" s="455">
        <f t="shared" si="287"/>
        <v>132.83297633493711</v>
      </c>
      <c r="Z203" s="224">
        <f t="shared" si="288"/>
        <v>0.29459717771406085</v>
      </c>
      <c r="AA203" s="180">
        <f t="shared" si="289"/>
        <v>1.2368583797155226</v>
      </c>
      <c r="AB203" s="180">
        <f t="shared" si="290"/>
        <v>3.7720509310379111E-2</v>
      </c>
      <c r="AC203" s="180"/>
      <c r="AD203" s="180">
        <f t="shared" si="291"/>
        <v>1.217557251908397</v>
      </c>
      <c r="AE203" s="564">
        <f t="shared" si="292"/>
        <v>890.50141297465905</v>
      </c>
      <c r="AF203" s="547">
        <f t="shared" si="293"/>
        <v>3.6552440597785188E-2</v>
      </c>
      <c r="AH203" s="180">
        <f t="shared" si="294"/>
        <v>0.45366043711987081</v>
      </c>
      <c r="AI203" s="180">
        <f t="shared" si="295"/>
        <v>0.7762305343511452</v>
      </c>
      <c r="AJ203" s="180">
        <f t="shared" si="296"/>
        <v>1.5601707661860336</v>
      </c>
      <c r="AL203" s="564">
        <f t="shared" si="297"/>
        <v>93.000000000000014</v>
      </c>
      <c r="AM203" s="473">
        <f t="shared" si="298"/>
        <v>132.83297633493711</v>
      </c>
      <c r="AO203">
        <f t="shared" si="299"/>
        <v>93.000000000000014</v>
      </c>
      <c r="AP203">
        <f t="shared" si="300"/>
        <v>132.83297633493711</v>
      </c>
      <c r="AR203" s="5">
        <f t="shared" si="314"/>
        <v>7.5282510984208413</v>
      </c>
      <c r="AS203" s="5">
        <f t="shared" si="305"/>
        <v>4.2692679389312991</v>
      </c>
      <c r="AT203" s="5">
        <f t="shared" si="306"/>
        <v>3.2589831594895422</v>
      </c>
      <c r="AU203" s="180">
        <f t="shared" si="307"/>
        <v>0.56709956709956699</v>
      </c>
      <c r="AW203" s="5">
        <f t="shared" si="246"/>
        <v>6.3022526717557277</v>
      </c>
      <c r="AX203" s="5">
        <f t="shared" si="247"/>
        <v>2.6469461221374058</v>
      </c>
      <c r="AY203" s="5">
        <f t="shared" si="248"/>
        <v>0.1767998364023077</v>
      </c>
      <c r="AZ203" s="5"/>
      <c r="BA203" s="180">
        <f t="shared" si="249"/>
        <v>0.33748910166175444</v>
      </c>
      <c r="BB203" s="180">
        <f t="shared" si="250"/>
        <v>0.17442753637228314</v>
      </c>
      <c r="BC203" s="180">
        <f t="shared" si="251"/>
        <v>0.17837632525190553</v>
      </c>
      <c r="BD203" s="180"/>
      <c r="BE203" s="547">
        <f t="shared" si="252"/>
        <v>3.9864612809160309E-2</v>
      </c>
      <c r="BF203" s="547">
        <f t="shared" si="253"/>
        <v>2.3818181818181811E-2</v>
      </c>
      <c r="BG203" s="547">
        <f t="shared" si="254"/>
        <v>1.6604122041867138E-3</v>
      </c>
      <c r="BH203" s="547">
        <f t="shared" si="255"/>
        <v>4.0756577588699329E-3</v>
      </c>
      <c r="BI203">
        <f t="shared" si="256"/>
        <v>2.8999999999999998E-3</v>
      </c>
      <c r="BJ203" s="473">
        <f t="shared" si="257"/>
        <v>72.318864590398775</v>
      </c>
      <c r="BK203" s="180">
        <f t="shared" si="258"/>
        <v>3.2550000000000003E-2</v>
      </c>
      <c r="BL203" s="180">
        <f t="shared" si="259"/>
        <v>3.2550000000000003E-2</v>
      </c>
      <c r="BM203" s="547"/>
      <c r="BO203" s="473">
        <f t="shared" si="260"/>
        <v>65.100000000000009</v>
      </c>
      <c r="BP203" s="547">
        <f t="shared" si="261"/>
        <v>1.2528878311450383E-2</v>
      </c>
      <c r="BQ203" s="547">
        <f t="shared" si="262"/>
        <v>1.0648737905716457E-3</v>
      </c>
      <c r="BR203" s="547">
        <f t="shared" si="263"/>
        <v>9.5454340231120776E-4</v>
      </c>
      <c r="BS203" s="547">
        <f t="shared" si="264"/>
        <v>5.3977351343344505E-3</v>
      </c>
      <c r="BT203" s="657">
        <f t="shared" si="301"/>
        <v>8.0036363636363628E-2</v>
      </c>
      <c r="BU203" s="473">
        <f t="shared" si="308"/>
        <v>99.982394275031311</v>
      </c>
      <c r="BV203" s="180">
        <f t="shared" si="309"/>
        <v>0.23740125886543009</v>
      </c>
      <c r="BW203" s="5">
        <f t="shared" si="310"/>
        <v>1.9809000000000003</v>
      </c>
      <c r="BX203" s="180">
        <f t="shared" si="311"/>
        <v>0.8929806049035689</v>
      </c>
      <c r="BY203" s="5">
        <f t="shared" si="312"/>
        <v>89.298060490356889</v>
      </c>
      <c r="BZ203">
        <f t="shared" si="313"/>
        <v>93</v>
      </c>
      <c r="CB203" s="582">
        <f t="shared" si="302"/>
        <v>-50</v>
      </c>
      <c r="CC203">
        <f t="shared" si="303"/>
        <v>-50</v>
      </c>
    </row>
    <row r="204" spans="5:81" x14ac:dyDescent="0.25">
      <c r="E204" s="177">
        <v>94</v>
      </c>
      <c r="F204" s="224">
        <f t="shared" si="304"/>
        <v>9.4E-2</v>
      </c>
      <c r="G204" s="224">
        <f t="shared" si="271"/>
        <v>9.4E-2</v>
      </c>
      <c r="H204" s="224">
        <f t="shared" si="272"/>
        <v>0.59219999999999995</v>
      </c>
      <c r="I204" s="224">
        <f t="shared" si="273"/>
        <v>1.41</v>
      </c>
      <c r="J204" s="560">
        <f t="shared" si="274"/>
        <v>10</v>
      </c>
      <c r="K204" s="455">
        <f t="shared" si="275"/>
        <v>13.1</v>
      </c>
      <c r="L204" s="455">
        <f t="shared" si="276"/>
        <v>23.1</v>
      </c>
      <c r="M204" s="455"/>
      <c r="N204" s="224">
        <f t="shared" si="277"/>
        <v>0.5670995670995671</v>
      </c>
      <c r="O204" s="179">
        <f t="shared" si="278"/>
        <v>1.0944622279129324</v>
      </c>
      <c r="P204" s="179">
        <f t="shared" si="279"/>
        <v>2.6058624474117433</v>
      </c>
      <c r="Q204" s="224">
        <f t="shared" si="280"/>
        <v>0.17372416316078293</v>
      </c>
      <c r="R204" s="224">
        <f t="shared" si="281"/>
        <v>7.2964148527528819E-2</v>
      </c>
      <c r="S204" s="224">
        <f t="shared" si="282"/>
        <v>6.3</v>
      </c>
      <c r="T204" s="224">
        <f t="shared" si="283"/>
        <v>0.7845770992366411</v>
      </c>
      <c r="U204" s="224">
        <f t="shared" si="284"/>
        <v>4.3151740458015269</v>
      </c>
      <c r="V204" s="224">
        <f t="shared" si="285"/>
        <v>3.2940259891614705</v>
      </c>
      <c r="W204" s="204">
        <f t="shared" si="286"/>
        <v>350</v>
      </c>
      <c r="X204" s="455">
        <f t="shared" si="287"/>
        <v>131.41985956541657</v>
      </c>
      <c r="Z204" s="224">
        <f t="shared" si="288"/>
        <v>0.29459717771406085</v>
      </c>
      <c r="AA204" s="180">
        <f t="shared" si="289"/>
        <v>1.2368583797155226</v>
      </c>
      <c r="AB204" s="180">
        <f t="shared" si="290"/>
        <v>3.7720509310379111E-2</v>
      </c>
      <c r="AC204" s="180"/>
      <c r="AD204" s="180">
        <f t="shared" si="291"/>
        <v>1.217557251908397</v>
      </c>
      <c r="AE204" s="564">
        <f t="shared" si="292"/>
        <v>900.07669698513905</v>
      </c>
      <c r="AF204" s="547">
        <f t="shared" si="293"/>
        <v>3.6552440597785188E-2</v>
      </c>
      <c r="AH204" s="180">
        <f t="shared" si="294"/>
        <v>0.45609295019850854</v>
      </c>
      <c r="AI204" s="180">
        <f t="shared" si="295"/>
        <v>0.7845770992366411</v>
      </c>
      <c r="AJ204" s="180">
        <f t="shared" si="296"/>
        <v>1.5663534068419565</v>
      </c>
      <c r="AL204" s="564">
        <f t="shared" si="297"/>
        <v>94</v>
      </c>
      <c r="AM204" s="473">
        <f t="shared" si="298"/>
        <v>131.41985956541657</v>
      </c>
      <c r="AO204">
        <f t="shared" si="299"/>
        <v>94</v>
      </c>
      <c r="AP204">
        <f t="shared" si="300"/>
        <v>131.41985956541657</v>
      </c>
      <c r="AR204" s="5">
        <f t="shared" si="314"/>
        <v>7.6092000349629973</v>
      </c>
      <c r="AS204" s="5">
        <f t="shared" si="305"/>
        <v>4.3151740458015269</v>
      </c>
      <c r="AT204" s="5">
        <f t="shared" si="306"/>
        <v>3.2940259891614705</v>
      </c>
      <c r="AU204" s="180">
        <f t="shared" si="307"/>
        <v>0.5670995670995671</v>
      </c>
      <c r="AW204" s="5">
        <f t="shared" si="246"/>
        <v>6.4385136556403735</v>
      </c>
      <c r="AX204" s="5">
        <f t="shared" si="247"/>
        <v>2.7041757353689566</v>
      </c>
      <c r="AY204" s="5">
        <f t="shared" si="248"/>
        <v>0.18062242507235393</v>
      </c>
      <c r="AZ204" s="5"/>
      <c r="BA204" s="180">
        <f t="shared" si="249"/>
        <v>0.34111801673338615</v>
      </c>
      <c r="BB204" s="180">
        <f t="shared" si="250"/>
        <v>0.1763031012795119</v>
      </c>
      <c r="BC204" s="180">
        <f t="shared" si="251"/>
        <v>0.18029435025461407</v>
      </c>
      <c r="BD204" s="180"/>
      <c r="BE204" s="547">
        <f t="shared" si="252"/>
        <v>4.0726525469041548E-2</v>
      </c>
      <c r="BF204" s="547">
        <f t="shared" si="253"/>
        <v>2.3818181818181818E-2</v>
      </c>
      <c r="BG204" s="547">
        <f t="shared" si="254"/>
        <v>1.6427482445677071E-3</v>
      </c>
      <c r="BH204" s="547">
        <f t="shared" si="255"/>
        <v>4.0322996976053611E-3</v>
      </c>
      <c r="BI204">
        <f t="shared" si="256"/>
        <v>2.8999999999999998E-3</v>
      </c>
      <c r="BJ204" s="473">
        <f t="shared" si="257"/>
        <v>73.119755229396446</v>
      </c>
      <c r="BK204" s="180">
        <f t="shared" si="258"/>
        <v>3.2899999999999999E-2</v>
      </c>
      <c r="BL204" s="180">
        <f t="shared" si="259"/>
        <v>3.2899999999999999E-2</v>
      </c>
      <c r="BM204" s="547"/>
      <c r="BO204" s="473">
        <f t="shared" si="260"/>
        <v>65.8</v>
      </c>
      <c r="BP204" s="547">
        <f t="shared" si="261"/>
        <v>1.2799765147413059E-2</v>
      </c>
      <c r="BQ204" s="547">
        <f t="shared" si="262"/>
        <v>1.0878974232270842E-3</v>
      </c>
      <c r="BR204" s="547">
        <f t="shared" si="263"/>
        <v>9.7518158201200368E-4</v>
      </c>
      <c r="BS204" s="547">
        <f t="shared" si="264"/>
        <v>5.3977351343344531E-3</v>
      </c>
      <c r="BT204" s="657">
        <f t="shared" si="301"/>
        <v>8.0896969696969676E-2</v>
      </c>
      <c r="BU204" s="473">
        <f t="shared" si="308"/>
        <v>101.15754898395627</v>
      </c>
      <c r="BV204" s="180">
        <f t="shared" si="309"/>
        <v>0.24007730421335272</v>
      </c>
      <c r="BW204" s="5">
        <f t="shared" si="310"/>
        <v>2.0021999999999998</v>
      </c>
      <c r="BX204" s="180">
        <f t="shared" si="311"/>
        <v>0.89293148364734587</v>
      </c>
      <c r="BY204" s="5">
        <f t="shared" si="312"/>
        <v>89.293148364734591</v>
      </c>
      <c r="BZ204">
        <f t="shared" si="313"/>
        <v>94</v>
      </c>
      <c r="CB204" s="582">
        <f t="shared" si="302"/>
        <v>-50</v>
      </c>
      <c r="CC204">
        <f t="shared" si="303"/>
        <v>-50</v>
      </c>
    </row>
    <row r="205" spans="5:81" x14ac:dyDescent="0.25">
      <c r="E205" s="177">
        <v>95</v>
      </c>
      <c r="F205" s="224">
        <f t="shared" si="304"/>
        <v>9.5000000000000001E-2</v>
      </c>
      <c r="G205" s="224">
        <f t="shared" si="271"/>
        <v>9.5000000000000001E-2</v>
      </c>
      <c r="H205" s="224">
        <f t="shared" si="272"/>
        <v>0.59850000000000003</v>
      </c>
      <c r="I205" s="224">
        <f t="shared" si="273"/>
        <v>1.425</v>
      </c>
      <c r="J205" s="560">
        <f t="shared" si="274"/>
        <v>10</v>
      </c>
      <c r="K205" s="455">
        <f t="shared" si="275"/>
        <v>13.1</v>
      </c>
      <c r="L205" s="455">
        <f t="shared" si="276"/>
        <v>23.1</v>
      </c>
      <c r="M205" s="455"/>
      <c r="N205" s="224">
        <f t="shared" si="277"/>
        <v>0.5670995670995671</v>
      </c>
      <c r="O205" s="179">
        <f t="shared" si="278"/>
        <v>1.0944622279129324</v>
      </c>
      <c r="P205" s="179">
        <f t="shared" si="279"/>
        <v>2.6058624474117433</v>
      </c>
      <c r="Q205" s="224">
        <f t="shared" si="280"/>
        <v>0.17372416316078293</v>
      </c>
      <c r="R205" s="224">
        <f t="shared" si="281"/>
        <v>7.2964148527528819E-2</v>
      </c>
      <c r="S205" s="224">
        <f t="shared" si="282"/>
        <v>6.3</v>
      </c>
      <c r="T205" s="224">
        <f t="shared" si="283"/>
        <v>0.79292366412213755</v>
      </c>
      <c r="U205" s="224">
        <f t="shared" si="284"/>
        <v>4.3610801526717573</v>
      </c>
      <c r="V205" s="224">
        <f t="shared" si="285"/>
        <v>3.3290688188334023</v>
      </c>
      <c r="W205" s="204">
        <f t="shared" si="286"/>
        <v>350</v>
      </c>
      <c r="X205" s="455">
        <f t="shared" si="287"/>
        <v>130.03649262262269</v>
      </c>
      <c r="Z205" s="224">
        <f t="shared" si="288"/>
        <v>0.29459717771406085</v>
      </c>
      <c r="AA205" s="180">
        <f t="shared" si="289"/>
        <v>1.2368583797155226</v>
      </c>
      <c r="AB205" s="180">
        <f t="shared" si="290"/>
        <v>3.7720509310379111E-2</v>
      </c>
      <c r="AC205" s="180"/>
      <c r="AD205" s="180">
        <f t="shared" si="291"/>
        <v>1.217557251908397</v>
      </c>
      <c r="AE205" s="564">
        <f t="shared" si="292"/>
        <v>909.6519809956194</v>
      </c>
      <c r="AF205" s="547">
        <f t="shared" si="293"/>
        <v>3.6552440597785188E-2</v>
      </c>
      <c r="AH205" s="180">
        <f t="shared" si="294"/>
        <v>0.45851255842535682</v>
      </c>
      <c r="AI205" s="180">
        <f t="shared" si="295"/>
        <v>0.79292366412213755</v>
      </c>
      <c r="AJ205" s="180">
        <f t="shared" si="296"/>
        <v>1.5725360474978796</v>
      </c>
      <c r="AL205" s="564">
        <f t="shared" si="297"/>
        <v>95</v>
      </c>
      <c r="AM205" s="473">
        <f t="shared" si="298"/>
        <v>130.03649262262269</v>
      </c>
      <c r="AO205">
        <f t="shared" si="299"/>
        <v>95</v>
      </c>
      <c r="AP205">
        <f t="shared" si="300"/>
        <v>130.03649262262269</v>
      </c>
      <c r="AR205" s="5">
        <f t="shared" si="314"/>
        <v>7.6901489715051587</v>
      </c>
      <c r="AS205" s="5">
        <f t="shared" si="305"/>
        <v>4.3610801526717573</v>
      </c>
      <c r="AT205" s="5">
        <f t="shared" si="306"/>
        <v>3.3290688188334014</v>
      </c>
      <c r="AU205" s="180">
        <f t="shared" si="307"/>
        <v>0.56709956709956721</v>
      </c>
      <c r="AW205" s="5">
        <f t="shared" si="246"/>
        <v>6.576231976251063</v>
      </c>
      <c r="AX205" s="5">
        <f t="shared" si="247"/>
        <v>2.7620174300254461</v>
      </c>
      <c r="AY205" s="5">
        <f t="shared" si="248"/>
        <v>0.18448589704368432</v>
      </c>
      <c r="AZ205" s="5"/>
      <c r="BA205" s="180">
        <f t="shared" si="249"/>
        <v>0.34474693180501809</v>
      </c>
      <c r="BB205" s="180">
        <f t="shared" si="250"/>
        <v>0.1781786661867408</v>
      </c>
      <c r="BC205" s="180">
        <f t="shared" si="251"/>
        <v>0.18221237525732276</v>
      </c>
      <c r="BD205" s="180"/>
      <c r="BE205" s="547">
        <f t="shared" si="252"/>
        <v>4.1597656446140822E-2</v>
      </c>
      <c r="BF205" s="547">
        <f t="shared" si="253"/>
        <v>2.3818181818181822E-2</v>
      </c>
      <c r="BG205" s="547">
        <f t="shared" si="254"/>
        <v>1.6254561577827835E-3</v>
      </c>
      <c r="BH205" s="547">
        <f t="shared" si="255"/>
        <v>3.9898544376305673E-3</v>
      </c>
      <c r="BI205">
        <f t="shared" si="256"/>
        <v>2.8999999999999998E-3</v>
      </c>
      <c r="BJ205" s="473">
        <f t="shared" si="257"/>
        <v>73.931148859736012</v>
      </c>
      <c r="BK205" s="180">
        <f t="shared" si="258"/>
        <v>3.3249999999999995E-2</v>
      </c>
      <c r="BL205" s="180">
        <f t="shared" si="259"/>
        <v>3.3249999999999995E-2</v>
      </c>
      <c r="BM205" s="547"/>
      <c r="BO205" s="473">
        <f t="shared" si="260"/>
        <v>66.499999999999986</v>
      </c>
      <c r="BP205" s="547">
        <f t="shared" si="261"/>
        <v>1.3073549168787117E-2</v>
      </c>
      <c r="BQ205" s="547">
        <f t="shared" si="262"/>
        <v>1.1111672979430105E-3</v>
      </c>
      <c r="BR205" s="547">
        <f t="shared" si="263"/>
        <v>9.9604049090746215E-4</v>
      </c>
      <c r="BS205" s="547">
        <f t="shared" si="264"/>
        <v>5.397735134334454E-3</v>
      </c>
      <c r="BT205" s="657">
        <f t="shared" si="301"/>
        <v>8.1757575757575779E-2</v>
      </c>
      <c r="BU205" s="473">
        <f t="shared" si="308"/>
        <v>102.33606784954782</v>
      </c>
      <c r="BV205" s="180">
        <f t="shared" si="309"/>
        <v>0.24276721670928381</v>
      </c>
      <c r="BW205" s="5">
        <f t="shared" si="310"/>
        <v>2.0235000000000003</v>
      </c>
      <c r="BX205" s="180">
        <f t="shared" si="311"/>
        <v>0.89287793825928774</v>
      </c>
      <c r="BY205" s="5">
        <f t="shared" si="312"/>
        <v>89.287793825928773</v>
      </c>
      <c r="BZ205">
        <f t="shared" si="313"/>
        <v>95</v>
      </c>
      <c r="CB205" s="582">
        <f t="shared" si="302"/>
        <v>-50</v>
      </c>
      <c r="CC205">
        <f t="shared" si="303"/>
        <v>-50</v>
      </c>
    </row>
    <row r="206" spans="5:81" x14ac:dyDescent="0.25">
      <c r="E206" s="177">
        <v>96</v>
      </c>
      <c r="F206" s="224">
        <f t="shared" si="304"/>
        <v>9.6000000000000002E-2</v>
      </c>
      <c r="G206" s="224">
        <f t="shared" si="271"/>
        <v>9.6000000000000002E-2</v>
      </c>
      <c r="H206" s="224">
        <f t="shared" si="272"/>
        <v>0.6048</v>
      </c>
      <c r="I206" s="224">
        <f t="shared" si="273"/>
        <v>1.44</v>
      </c>
      <c r="J206" s="560">
        <f t="shared" si="274"/>
        <v>10</v>
      </c>
      <c r="K206" s="455">
        <f t="shared" si="275"/>
        <v>13.1</v>
      </c>
      <c r="L206" s="455">
        <f t="shared" si="276"/>
        <v>23.1</v>
      </c>
      <c r="M206" s="455"/>
      <c r="N206" s="224">
        <f t="shared" si="277"/>
        <v>0.5670995670995671</v>
      </c>
      <c r="O206" s="179">
        <f t="shared" ref="O206:O210" si="315">N206*J206*Isw_max*0.5*Efficiency*Pout/(Pout+Pout2)</f>
        <v>1.0944622279129324</v>
      </c>
      <c r="P206" s="179">
        <f t="shared" si="279"/>
        <v>2.6058624474117433</v>
      </c>
      <c r="Q206" s="224">
        <f t="shared" si="280"/>
        <v>0.17372416316078293</v>
      </c>
      <c r="R206" s="224">
        <f t="shared" si="281"/>
        <v>7.2964148527528819E-2</v>
      </c>
      <c r="S206" s="224">
        <f t="shared" si="282"/>
        <v>6.3</v>
      </c>
      <c r="T206" s="224">
        <f t="shared" si="283"/>
        <v>0.80127022900763356</v>
      </c>
      <c r="U206" s="224">
        <f t="shared" si="284"/>
        <v>4.4069862595419851</v>
      </c>
      <c r="V206" s="224">
        <f t="shared" si="285"/>
        <v>3.364111648505332</v>
      </c>
      <c r="W206" s="204">
        <f t="shared" si="286"/>
        <v>350</v>
      </c>
      <c r="X206" s="455">
        <f t="shared" si="287"/>
        <v>128.6819458244704</v>
      </c>
      <c r="Z206" s="224">
        <f t="shared" si="288"/>
        <v>0.29459717771406085</v>
      </c>
      <c r="AA206" s="180">
        <f t="shared" si="289"/>
        <v>1.2368583797155226</v>
      </c>
      <c r="AB206" s="180">
        <f t="shared" ref="AB206:AB210" si="316">0.5*AA206*Z206*Nps*W206/1000*(Pout/(Pout+Pout2))</f>
        <v>3.7720509310379111E-2</v>
      </c>
      <c r="AC206" s="180"/>
      <c r="AD206" s="180">
        <f t="shared" si="291"/>
        <v>1.217557251908397</v>
      </c>
      <c r="AE206" s="564">
        <f t="shared" ref="AE206:AE210" si="317">MAX(10, F206/(0.5*AD206/1000000*Isw_min*Nps)/1000*Pout_total/Pout)</f>
        <v>919.2272650060994</v>
      </c>
      <c r="AF206" s="547">
        <f t="shared" si="293"/>
        <v>3.6552440597785188E-2</v>
      </c>
      <c r="AH206" s="180">
        <f t="shared" si="294"/>
        <v>0.46091946503348419</v>
      </c>
      <c r="AI206" s="180">
        <f t="shared" ref="AI206:AI210" si="318">MAX(IF(F206&gt;AB206,T206,AH206),Isw_min)</f>
        <v>0.80127022900763356</v>
      </c>
      <c r="AJ206" s="180">
        <f t="shared" ref="AJ206:AJ210" si="319">IF(F206&gt;AF206, (AI206-Isw_min)/1.08*0.8+1.2, AE206*0.2/350+1)</f>
        <v>1.5787186881538027</v>
      </c>
      <c r="AL206" s="564">
        <f t="shared" si="297"/>
        <v>96</v>
      </c>
      <c r="AM206" s="473">
        <f t="shared" si="298"/>
        <v>128.6819458244704</v>
      </c>
      <c r="AO206">
        <f t="shared" si="299"/>
        <v>96</v>
      </c>
      <c r="AP206">
        <f t="shared" si="300"/>
        <v>128.6819458244704</v>
      </c>
      <c r="AR206" s="5">
        <f t="shared" si="314"/>
        <v>7.7710979080473157</v>
      </c>
      <c r="AS206" s="5">
        <f t="shared" si="305"/>
        <v>4.4069862595419851</v>
      </c>
      <c r="AT206" s="5">
        <f t="shared" si="306"/>
        <v>3.3641116485053306</v>
      </c>
      <c r="AU206" s="180">
        <f t="shared" si="307"/>
        <v>0.56709956709956721</v>
      </c>
      <c r="AW206" s="5">
        <f t="shared" si="246"/>
        <v>6.7154076335877866</v>
      </c>
      <c r="AX206" s="5">
        <f t="shared" si="247"/>
        <v>2.8204712061068706</v>
      </c>
      <c r="AY206" s="5">
        <f t="shared" si="248"/>
        <v>0.18839025231629852</v>
      </c>
      <c r="AZ206" s="5"/>
      <c r="BA206" s="180">
        <f t="shared" si="249"/>
        <v>0.34837584687664974</v>
      </c>
      <c r="BB206" s="180">
        <f t="shared" si="250"/>
        <v>0.18005423109396962</v>
      </c>
      <c r="BC206" s="180">
        <f t="shared" si="251"/>
        <v>0.18413040026003138</v>
      </c>
      <c r="BD206" s="180"/>
      <c r="BE206" s="547">
        <f t="shared" si="252"/>
        <v>4.2478005740458014E-2</v>
      </c>
      <c r="BF206" s="547">
        <f t="shared" si="253"/>
        <v>2.3818181818181822E-2</v>
      </c>
      <c r="BG206" s="547">
        <f t="shared" si="254"/>
        <v>1.60852432280588E-3</v>
      </c>
      <c r="BH206" s="547">
        <f t="shared" si="255"/>
        <v>3.9482934539052496E-3</v>
      </c>
      <c r="BI206">
        <f t="shared" si="256"/>
        <v>2.8999999999999998E-3</v>
      </c>
      <c r="BJ206" s="473">
        <f t="shared" si="257"/>
        <v>74.753005335350963</v>
      </c>
      <c r="BK206" s="180">
        <f t="shared" si="258"/>
        <v>3.3599999999999998E-2</v>
      </c>
      <c r="BL206" s="180">
        <f t="shared" si="259"/>
        <v>3.3599999999999998E-2</v>
      </c>
      <c r="BM206" s="547"/>
      <c r="BO206" s="473">
        <f t="shared" si="260"/>
        <v>67.2</v>
      </c>
      <c r="BP206" s="547">
        <f t="shared" si="261"/>
        <v>1.3350230375572519E-2</v>
      </c>
      <c r="BQ206" s="547">
        <f t="shared" si="262"/>
        <v>1.1346834147194216E-3</v>
      </c>
      <c r="BR206" s="547">
        <f t="shared" si="263"/>
        <v>1.0171201289975811E-3</v>
      </c>
      <c r="BS206" s="547">
        <f t="shared" si="264"/>
        <v>5.397735134334454E-3</v>
      </c>
      <c r="BT206" s="657">
        <f t="shared" si="301"/>
        <v>8.2618181818181841E-2</v>
      </c>
      <c r="BU206" s="473">
        <f t="shared" si="308"/>
        <v>103.51795087180582</v>
      </c>
      <c r="BV206" s="180">
        <f t="shared" si="309"/>
        <v>0.24547095620715675</v>
      </c>
      <c r="BW206" s="5">
        <f t="shared" si="310"/>
        <v>2.0448</v>
      </c>
      <c r="BX206" s="180">
        <f t="shared" si="311"/>
        <v>0.8928201243866476</v>
      </c>
      <c r="BY206" s="5">
        <f t="shared" si="312"/>
        <v>89.282012438664765</v>
      </c>
      <c r="BZ206">
        <f t="shared" si="313"/>
        <v>96</v>
      </c>
      <c r="CB206" s="582">
        <f t="shared" si="302"/>
        <v>-50</v>
      </c>
      <c r="CC206">
        <f t="shared" si="303"/>
        <v>-50</v>
      </c>
    </row>
    <row r="207" spans="5:81" x14ac:dyDescent="0.25">
      <c r="E207" s="177">
        <v>97</v>
      </c>
      <c r="F207" s="224">
        <f t="shared" ref="F207:F210" si="320">IF(PLOT_TYPE=1, E207/100*Iout_max, min_I*EXP(O207*rr/100))</f>
        <v>9.7000000000000003E-2</v>
      </c>
      <c r="G207" s="224">
        <f t="shared" si="271"/>
        <v>9.7000000000000003E-2</v>
      </c>
      <c r="H207" s="224">
        <f t="shared" si="272"/>
        <v>0.61109999999999998</v>
      </c>
      <c r="I207" s="224">
        <f t="shared" si="273"/>
        <v>1.4550000000000001</v>
      </c>
      <c r="J207" s="560">
        <f t="shared" si="274"/>
        <v>10</v>
      </c>
      <c r="K207" s="455">
        <f t="shared" si="275"/>
        <v>13.1</v>
      </c>
      <c r="L207" s="455">
        <f t="shared" si="276"/>
        <v>23.1</v>
      </c>
      <c r="M207" s="455"/>
      <c r="N207" s="224">
        <f t="shared" si="277"/>
        <v>0.5670995670995671</v>
      </c>
      <c r="O207" s="179">
        <f t="shared" si="315"/>
        <v>1.0944622279129324</v>
      </c>
      <c r="P207" s="179">
        <f t="shared" si="279"/>
        <v>2.6058624474117433</v>
      </c>
      <c r="Q207" s="224">
        <f t="shared" si="280"/>
        <v>0.17372416316078293</v>
      </c>
      <c r="R207" s="224">
        <f t="shared" si="281"/>
        <v>7.2964148527528819E-2</v>
      </c>
      <c r="S207" s="224">
        <f t="shared" si="282"/>
        <v>6.3</v>
      </c>
      <c r="T207" s="224">
        <f t="shared" si="283"/>
        <v>0.80961679389312979</v>
      </c>
      <c r="U207" s="224">
        <f t="shared" si="284"/>
        <v>4.4528923664122146</v>
      </c>
      <c r="V207" s="224">
        <f t="shared" si="285"/>
        <v>3.3991544781772625</v>
      </c>
      <c r="W207" s="204">
        <f t="shared" si="286"/>
        <v>350</v>
      </c>
      <c r="X207" s="455">
        <f t="shared" si="287"/>
        <v>127.35532782627995</v>
      </c>
      <c r="Z207" s="224">
        <f t="shared" si="288"/>
        <v>0.29459717771406085</v>
      </c>
      <c r="AA207" s="180">
        <f t="shared" si="289"/>
        <v>1.2368583797155226</v>
      </c>
      <c r="AB207" s="180">
        <f t="shared" si="316"/>
        <v>3.7720509310379111E-2</v>
      </c>
      <c r="AC207" s="180"/>
      <c r="AD207" s="180">
        <f t="shared" si="291"/>
        <v>1.217557251908397</v>
      </c>
      <c r="AE207" s="564">
        <f t="shared" si="317"/>
        <v>928.80254901657975</v>
      </c>
      <c r="AF207" s="547">
        <f t="shared" si="293"/>
        <v>3.6552440597785188E-2</v>
      </c>
      <c r="AH207" s="180">
        <f t="shared" si="294"/>
        <v>0.46331386797692586</v>
      </c>
      <c r="AI207" s="180">
        <f t="shared" si="318"/>
        <v>0.80961679389312979</v>
      </c>
      <c r="AJ207" s="180">
        <f t="shared" si="319"/>
        <v>1.5849013288097258</v>
      </c>
      <c r="AL207" s="564">
        <f t="shared" si="297"/>
        <v>97</v>
      </c>
      <c r="AM207" s="473">
        <f t="shared" si="298"/>
        <v>127.35532782627995</v>
      </c>
      <c r="AO207">
        <f t="shared" si="299"/>
        <v>97</v>
      </c>
      <c r="AP207">
        <f t="shared" si="300"/>
        <v>127.35532782627995</v>
      </c>
      <c r="AR207" s="5">
        <f t="shared" si="314"/>
        <v>7.852046844589478</v>
      </c>
      <c r="AS207" s="5">
        <f t="shared" si="305"/>
        <v>4.4528923664122146</v>
      </c>
      <c r="AT207" s="5">
        <f t="shared" si="306"/>
        <v>3.3991544781772633</v>
      </c>
      <c r="AU207" s="180">
        <f t="shared" si="307"/>
        <v>0.5670995670995671</v>
      </c>
      <c r="AW207" s="5">
        <f t="shared" si="246"/>
        <v>6.856040627650553</v>
      </c>
      <c r="AX207" s="5">
        <f t="shared" si="247"/>
        <v>2.8795370636132325</v>
      </c>
      <c r="AY207" s="5">
        <f t="shared" si="248"/>
        <v>0.19233549089019675</v>
      </c>
      <c r="AZ207" s="5"/>
      <c r="BA207" s="180">
        <f t="shared" si="249"/>
        <v>0.35200476194828151</v>
      </c>
      <c r="BB207" s="180">
        <f t="shared" si="250"/>
        <v>0.18192979600119849</v>
      </c>
      <c r="BC207" s="180">
        <f t="shared" si="251"/>
        <v>0.1860484252627401</v>
      </c>
      <c r="BD207" s="180"/>
      <c r="BE207" s="547">
        <f t="shared" si="252"/>
        <v>4.3367573351993212E-2</v>
      </c>
      <c r="BF207" s="547">
        <f t="shared" si="253"/>
        <v>2.3818181818181818E-2</v>
      </c>
      <c r="BG207" s="547">
        <f t="shared" si="254"/>
        <v>1.5919415978284993E-3</v>
      </c>
      <c r="BH207" s="547">
        <f t="shared" si="255"/>
        <v>3.907589397679421E-3</v>
      </c>
      <c r="BI207">
        <f t="shared" si="256"/>
        <v>2.8999999999999998E-3</v>
      </c>
      <c r="BJ207" s="473">
        <f t="shared" si="257"/>
        <v>75.585286165682945</v>
      </c>
      <c r="BK207" s="180">
        <f t="shared" si="258"/>
        <v>3.3950000000000001E-2</v>
      </c>
      <c r="BL207" s="180">
        <f t="shared" si="259"/>
        <v>3.3950000000000001E-2</v>
      </c>
      <c r="BM207" s="547"/>
      <c r="BO207" s="473">
        <f t="shared" si="260"/>
        <v>67.900000000000006</v>
      </c>
      <c r="BP207" s="547">
        <f t="shared" si="261"/>
        <v>1.3629808767769296E-2</v>
      </c>
      <c r="BQ207" s="547">
        <f t="shared" si="262"/>
        <v>1.1584457735563194E-3</v>
      </c>
      <c r="BR207" s="547">
        <f t="shared" si="263"/>
        <v>1.0384204962823615E-3</v>
      </c>
      <c r="BS207" s="547">
        <f t="shared" si="264"/>
        <v>5.3977351343344523E-3</v>
      </c>
      <c r="BT207" s="657">
        <f t="shared" si="301"/>
        <v>8.3478787878787861E-2</v>
      </c>
      <c r="BU207" s="473">
        <f t="shared" si="308"/>
        <v>104.70319805073029</v>
      </c>
      <c r="BV207" s="180">
        <f t="shared" si="309"/>
        <v>0.24818848421641321</v>
      </c>
      <c r="BW207" s="5">
        <f t="shared" si="310"/>
        <v>2.0661</v>
      </c>
      <c r="BX207" s="180">
        <f t="shared" si="311"/>
        <v>0.89275819073159057</v>
      </c>
      <c r="BY207" s="5">
        <f t="shared" si="312"/>
        <v>89.275819073159056</v>
      </c>
      <c r="BZ207">
        <f t="shared" si="313"/>
        <v>97</v>
      </c>
      <c r="CB207" s="582">
        <f t="shared" si="302"/>
        <v>-50</v>
      </c>
      <c r="CC207">
        <f t="shared" si="303"/>
        <v>-50</v>
      </c>
    </row>
    <row r="208" spans="5:81" x14ac:dyDescent="0.25">
      <c r="E208" s="177">
        <v>98</v>
      </c>
      <c r="F208" s="224">
        <f t="shared" si="320"/>
        <v>9.8000000000000004E-2</v>
      </c>
      <c r="G208" s="224">
        <f t="shared" si="271"/>
        <v>9.8000000000000004E-2</v>
      </c>
      <c r="H208" s="224">
        <f t="shared" si="272"/>
        <v>0.61740000000000006</v>
      </c>
      <c r="I208" s="224">
        <f t="shared" si="273"/>
        <v>1.47</v>
      </c>
      <c r="J208" s="560">
        <f t="shared" si="274"/>
        <v>10</v>
      </c>
      <c r="K208" s="455">
        <f t="shared" si="275"/>
        <v>13.1</v>
      </c>
      <c r="L208" s="455">
        <f t="shared" si="276"/>
        <v>23.1</v>
      </c>
      <c r="M208" s="455"/>
      <c r="N208" s="224">
        <f t="shared" si="277"/>
        <v>0.5670995670995671</v>
      </c>
      <c r="O208" s="179">
        <f t="shared" si="315"/>
        <v>1.0944622279129324</v>
      </c>
      <c r="P208" s="179">
        <f t="shared" si="279"/>
        <v>2.6058624474117433</v>
      </c>
      <c r="Q208" s="224">
        <f t="shared" si="280"/>
        <v>0.17372416316078293</v>
      </c>
      <c r="R208" s="224">
        <f t="shared" si="281"/>
        <v>7.2964148527528819E-2</v>
      </c>
      <c r="S208" s="224">
        <f t="shared" si="282"/>
        <v>6.3</v>
      </c>
      <c r="T208" s="224">
        <f t="shared" si="283"/>
        <v>0.81796335877862603</v>
      </c>
      <c r="U208" s="224">
        <f t="shared" si="284"/>
        <v>4.4987984732824433</v>
      </c>
      <c r="V208" s="224">
        <f t="shared" si="285"/>
        <v>3.4341973078491934</v>
      </c>
      <c r="W208" s="204">
        <f t="shared" si="286"/>
        <v>350</v>
      </c>
      <c r="X208" s="455">
        <f t="shared" si="287"/>
        <v>126.05578366478731</v>
      </c>
      <c r="Z208" s="224">
        <f t="shared" si="288"/>
        <v>0.29459717771406085</v>
      </c>
      <c r="AA208" s="180">
        <f t="shared" si="289"/>
        <v>1.2368583797155226</v>
      </c>
      <c r="AB208" s="180">
        <f t="shared" si="316"/>
        <v>3.7720509310379111E-2</v>
      </c>
      <c r="AC208" s="180"/>
      <c r="AD208" s="180">
        <f t="shared" si="291"/>
        <v>1.217557251908397</v>
      </c>
      <c r="AE208" s="564">
        <f t="shared" si="317"/>
        <v>938.37783302706009</v>
      </c>
      <c r="AF208" s="547">
        <f t="shared" si="293"/>
        <v>3.6552440597785188E-2</v>
      </c>
      <c r="AH208" s="180">
        <f t="shared" si="294"/>
        <v>0.4656959601206857</v>
      </c>
      <c r="AI208" s="180">
        <f t="shared" si="318"/>
        <v>0.81796335877862603</v>
      </c>
      <c r="AJ208" s="180">
        <f t="shared" si="319"/>
        <v>1.5910839694656489</v>
      </c>
      <c r="AL208" s="564">
        <f t="shared" si="297"/>
        <v>98</v>
      </c>
      <c r="AM208" s="473">
        <f t="shared" si="298"/>
        <v>126.05578366478731</v>
      </c>
      <c r="AO208">
        <f t="shared" si="299"/>
        <v>98</v>
      </c>
      <c r="AP208">
        <f t="shared" si="300"/>
        <v>126.05578366478731</v>
      </c>
      <c r="AR208" s="5">
        <f t="shared" si="314"/>
        <v>7.9329957811316367</v>
      </c>
      <c r="AS208" s="5">
        <f t="shared" si="305"/>
        <v>4.4987984732824433</v>
      </c>
      <c r="AT208" s="5">
        <f t="shared" si="306"/>
        <v>3.4341973078491934</v>
      </c>
      <c r="AU208" s="180">
        <f t="shared" si="307"/>
        <v>0.5670995670995671</v>
      </c>
      <c r="AW208" s="5">
        <f t="shared" si="246"/>
        <v>6.9981309584393561</v>
      </c>
      <c r="AX208" s="5">
        <f t="shared" si="247"/>
        <v>2.9392150025445294</v>
      </c>
      <c r="AY208" s="5">
        <f t="shared" si="248"/>
        <v>0.19632161276537888</v>
      </c>
      <c r="AZ208" s="5"/>
      <c r="BA208" s="180">
        <f t="shared" si="249"/>
        <v>0.35563367701991327</v>
      </c>
      <c r="BB208" s="180">
        <f t="shared" si="250"/>
        <v>0.18380536090842736</v>
      </c>
      <c r="BC208" s="180">
        <f t="shared" si="251"/>
        <v>0.18796645026544875</v>
      </c>
      <c r="BD208" s="180"/>
      <c r="BE208" s="547">
        <f t="shared" si="252"/>
        <v>4.4266359280746397E-2</v>
      </c>
      <c r="BF208" s="547">
        <f t="shared" si="253"/>
        <v>2.3818181818181822E-2</v>
      </c>
      <c r="BG208" s="547">
        <f t="shared" si="254"/>
        <v>1.5756972958098413E-3</v>
      </c>
      <c r="BH208" s="547">
        <f t="shared" si="255"/>
        <v>3.8677160364786111E-3</v>
      </c>
      <c r="BI208">
        <f t="shared" si="256"/>
        <v>2.8999999999999998E-3</v>
      </c>
      <c r="BJ208" s="473">
        <f t="shared" si="257"/>
        <v>76.427954431216662</v>
      </c>
      <c r="BK208" s="180">
        <f t="shared" si="258"/>
        <v>3.4299999999999997E-2</v>
      </c>
      <c r="BL208" s="180">
        <f t="shared" si="259"/>
        <v>3.4299999999999997E-2</v>
      </c>
      <c r="BM208" s="547"/>
      <c r="BO208" s="473">
        <f t="shared" si="260"/>
        <v>68.599999999999994</v>
      </c>
      <c r="BP208" s="547">
        <f t="shared" si="261"/>
        <v>1.3912284345377439E-2</v>
      </c>
      <c r="BQ208" s="547">
        <f t="shared" si="262"/>
        <v>1.1824543744537034E-3</v>
      </c>
      <c r="BR208" s="547">
        <f t="shared" si="263"/>
        <v>1.0599415927618025E-3</v>
      </c>
      <c r="BS208" s="547">
        <f t="shared" si="264"/>
        <v>5.3977351343344627E-3</v>
      </c>
      <c r="BT208" s="657">
        <f t="shared" si="301"/>
        <v>8.433939393939395E-2</v>
      </c>
      <c r="BU208" s="473">
        <f t="shared" si="308"/>
        <v>105.89180938632137</v>
      </c>
      <c r="BV208" s="180">
        <f t="shared" si="309"/>
        <v>0.250919763817538</v>
      </c>
      <c r="BW208" s="5">
        <f t="shared" si="310"/>
        <v>2.0874000000000001</v>
      </c>
      <c r="BX208" s="180">
        <f t="shared" si="311"/>
        <v>0.89269227943064255</v>
      </c>
      <c r="BY208" s="5">
        <f t="shared" si="312"/>
        <v>89.269227943064251</v>
      </c>
      <c r="BZ208">
        <f t="shared" si="313"/>
        <v>98</v>
      </c>
      <c r="CB208" s="582">
        <f t="shared" si="302"/>
        <v>-50</v>
      </c>
      <c r="CC208">
        <f t="shared" si="303"/>
        <v>-50</v>
      </c>
    </row>
    <row r="209" spans="5:81" x14ac:dyDescent="0.25">
      <c r="E209" s="177">
        <v>99</v>
      </c>
      <c r="F209" s="224">
        <f t="shared" si="320"/>
        <v>9.9000000000000005E-2</v>
      </c>
      <c r="G209" s="224">
        <f t="shared" si="271"/>
        <v>9.9000000000000005E-2</v>
      </c>
      <c r="H209" s="224">
        <f t="shared" si="272"/>
        <v>0.62370000000000003</v>
      </c>
      <c r="I209" s="224">
        <f t="shared" si="273"/>
        <v>1.4850000000000001</v>
      </c>
      <c r="J209" s="560">
        <f t="shared" si="274"/>
        <v>10</v>
      </c>
      <c r="K209" s="455">
        <f t="shared" si="275"/>
        <v>13.1</v>
      </c>
      <c r="L209" s="455">
        <f t="shared" si="276"/>
        <v>23.1</v>
      </c>
      <c r="M209" s="455"/>
      <c r="N209" s="224">
        <f t="shared" si="277"/>
        <v>0.5670995670995671</v>
      </c>
      <c r="O209" s="179">
        <f t="shared" si="315"/>
        <v>1.0944622279129324</v>
      </c>
      <c r="P209" s="179">
        <f t="shared" si="279"/>
        <v>2.6058624474117433</v>
      </c>
      <c r="Q209" s="224">
        <f t="shared" si="280"/>
        <v>0.17372416316078293</v>
      </c>
      <c r="R209" s="224">
        <f t="shared" si="281"/>
        <v>7.2964148527528819E-2</v>
      </c>
      <c r="S209" s="224">
        <f t="shared" si="282"/>
        <v>6.3</v>
      </c>
      <c r="T209" s="224">
        <f t="shared" si="283"/>
        <v>0.82630992366412226</v>
      </c>
      <c r="U209" s="224">
        <f t="shared" si="284"/>
        <v>4.5447045801526729</v>
      </c>
      <c r="V209" s="224">
        <f t="shared" si="285"/>
        <v>3.4692401375211244</v>
      </c>
      <c r="W209" s="204">
        <f t="shared" si="286"/>
        <v>350</v>
      </c>
      <c r="X209" s="455">
        <f t="shared" si="287"/>
        <v>124.78249292069852</v>
      </c>
      <c r="Z209" s="224">
        <f t="shared" si="288"/>
        <v>0.29459717771406085</v>
      </c>
      <c r="AA209" s="180">
        <f t="shared" si="289"/>
        <v>1.2368583797155226</v>
      </c>
      <c r="AB209" s="180">
        <f t="shared" si="316"/>
        <v>3.7720509310379111E-2</v>
      </c>
      <c r="AC209" s="180"/>
      <c r="AD209" s="180">
        <f t="shared" si="291"/>
        <v>1.217557251908397</v>
      </c>
      <c r="AE209" s="564">
        <f t="shared" si="317"/>
        <v>947.9531170375401</v>
      </c>
      <c r="AF209" s="547">
        <f t="shared" si="293"/>
        <v>3.6552440597785188E-2</v>
      </c>
      <c r="AH209" s="180">
        <f t="shared" si="294"/>
        <v>0.4680659294220359</v>
      </c>
      <c r="AI209" s="180">
        <f t="shared" si="318"/>
        <v>0.82630992366412226</v>
      </c>
      <c r="AJ209" s="180">
        <f t="shared" si="319"/>
        <v>1.597266610121572</v>
      </c>
      <c r="AL209" s="564">
        <f t="shared" si="297"/>
        <v>99</v>
      </c>
      <c r="AM209" s="473">
        <f t="shared" si="298"/>
        <v>124.78249292069852</v>
      </c>
      <c r="AO209">
        <f t="shared" si="299"/>
        <v>99</v>
      </c>
      <c r="AP209">
        <f t="shared" si="300"/>
        <v>124.78249292069852</v>
      </c>
      <c r="AR209" s="5">
        <f t="shared" si="314"/>
        <v>8.0139447176737981</v>
      </c>
      <c r="AS209" s="5">
        <f t="shared" si="305"/>
        <v>4.5447045801526729</v>
      </c>
      <c r="AT209" s="5">
        <f t="shared" si="306"/>
        <v>3.4692401375211253</v>
      </c>
      <c r="AU209" s="180">
        <f t="shared" si="307"/>
        <v>0.56709956709956699</v>
      </c>
      <c r="AW209" s="5">
        <f t="shared" si="246"/>
        <v>7.1416786259542011</v>
      </c>
      <c r="AX209" s="5">
        <f t="shared" si="247"/>
        <v>2.999505022900764</v>
      </c>
      <c r="AY209" s="5">
        <f t="shared" si="248"/>
        <v>0.20034861794184497</v>
      </c>
      <c r="AZ209" s="5"/>
      <c r="BA209" s="180">
        <f t="shared" si="249"/>
        <v>0.35926259209154504</v>
      </c>
      <c r="BB209" s="180">
        <f t="shared" si="250"/>
        <v>0.18568092581565626</v>
      </c>
      <c r="BC209" s="180">
        <f t="shared" si="251"/>
        <v>0.18988447526815747</v>
      </c>
      <c r="BD209" s="180"/>
      <c r="BE209" s="547">
        <f t="shared" si="252"/>
        <v>4.5174363526717554E-2</v>
      </c>
      <c r="BF209" s="547">
        <f t="shared" si="253"/>
        <v>2.3818181818181818E-2</v>
      </c>
      <c r="BG209" s="547">
        <f t="shared" si="254"/>
        <v>1.5597811615087314E-3</v>
      </c>
      <c r="BH209" s="547">
        <f t="shared" si="255"/>
        <v>3.8286481977263006E-3</v>
      </c>
      <c r="BI209">
        <f t="shared" si="256"/>
        <v>2.8999999999999998E-3</v>
      </c>
      <c r="BJ209" s="473">
        <f t="shared" si="257"/>
        <v>77.280974704134408</v>
      </c>
      <c r="BK209" s="180">
        <f t="shared" si="258"/>
        <v>3.465E-2</v>
      </c>
      <c r="BL209" s="180">
        <f t="shared" si="259"/>
        <v>3.465E-2</v>
      </c>
      <c r="BM209" s="547"/>
      <c r="BO209" s="473">
        <f t="shared" si="260"/>
        <v>69.3</v>
      </c>
      <c r="BP209" s="547">
        <f t="shared" si="261"/>
        <v>1.4197657108396947E-2</v>
      </c>
      <c r="BQ209" s="547">
        <f t="shared" si="262"/>
        <v>1.2067092174115736E-3</v>
      </c>
      <c r="BR209" s="547">
        <f t="shared" si="263"/>
        <v>1.081683418435905E-3</v>
      </c>
      <c r="BS209" s="547">
        <f t="shared" si="264"/>
        <v>5.3977351343344549E-3</v>
      </c>
      <c r="BT209" s="657">
        <f t="shared" si="301"/>
        <v>8.5199999999999998E-2</v>
      </c>
      <c r="BU209" s="473">
        <f t="shared" si="308"/>
        <v>107.08378487857888</v>
      </c>
      <c r="BV209" s="180">
        <f t="shared" si="309"/>
        <v>0.25366475958271323</v>
      </c>
      <c r="BW209" s="5">
        <f t="shared" si="310"/>
        <v>2.1087000000000002</v>
      </c>
      <c r="BX209" s="180">
        <f t="shared" si="311"/>
        <v>0.89262252640971484</v>
      </c>
      <c r="BY209" s="5">
        <f t="shared" si="312"/>
        <v>89.262252640971482</v>
      </c>
      <c r="BZ209">
        <f t="shared" si="313"/>
        <v>99</v>
      </c>
      <c r="CB209" s="582">
        <f t="shared" si="302"/>
        <v>-50</v>
      </c>
      <c r="CC209">
        <f t="shared" si="303"/>
        <v>-50</v>
      </c>
    </row>
    <row r="210" spans="5:81" x14ac:dyDescent="0.25">
      <c r="E210" s="177">
        <v>100</v>
      </c>
      <c r="F210" s="224">
        <f t="shared" si="320"/>
        <v>0.1</v>
      </c>
      <c r="G210" s="224">
        <f t="shared" si="271"/>
        <v>0.1</v>
      </c>
      <c r="H210" s="224">
        <f t="shared" si="272"/>
        <v>0.63</v>
      </c>
      <c r="I210" s="224">
        <f t="shared" si="273"/>
        <v>1.5</v>
      </c>
      <c r="J210" s="560">
        <f t="shared" si="274"/>
        <v>10</v>
      </c>
      <c r="K210" s="455">
        <f t="shared" si="275"/>
        <v>13.1</v>
      </c>
      <c r="L210" s="455">
        <f t="shared" si="276"/>
        <v>23.1</v>
      </c>
      <c r="M210" s="455"/>
      <c r="N210" s="224">
        <f t="shared" si="277"/>
        <v>0.5670995670995671</v>
      </c>
      <c r="O210" s="179">
        <f t="shared" si="315"/>
        <v>1.0944622279129324</v>
      </c>
      <c r="P210" s="179">
        <f t="shared" si="279"/>
        <v>2.6058624474117433</v>
      </c>
      <c r="Q210" s="224">
        <f t="shared" si="280"/>
        <v>0.17372416316078293</v>
      </c>
      <c r="R210" s="224">
        <f t="shared" si="281"/>
        <v>7.2964148527528819E-2</v>
      </c>
      <c r="S210" s="224">
        <f t="shared" si="282"/>
        <v>6.3</v>
      </c>
      <c r="T210" s="224">
        <f t="shared" si="283"/>
        <v>0.83465648854961827</v>
      </c>
      <c r="U210" s="224">
        <f t="shared" si="284"/>
        <v>4.5906106870229006</v>
      </c>
      <c r="V210" s="224">
        <f t="shared" si="285"/>
        <v>3.504282967193054</v>
      </c>
      <c r="W210" s="204">
        <f t="shared" si="286"/>
        <v>350</v>
      </c>
      <c r="X210" s="455">
        <f t="shared" si="287"/>
        <v>123.53466799149157</v>
      </c>
      <c r="Z210" s="224">
        <f t="shared" si="288"/>
        <v>0.29459717771406085</v>
      </c>
      <c r="AA210" s="180">
        <f t="shared" si="289"/>
        <v>1.2368583797155226</v>
      </c>
      <c r="AB210" s="180">
        <f t="shared" si="316"/>
        <v>3.7720509310379111E-2</v>
      </c>
      <c r="AC210" s="180"/>
      <c r="AD210" s="180">
        <f t="shared" si="291"/>
        <v>1.217557251908397</v>
      </c>
      <c r="AE210" s="564">
        <f t="shared" si="317"/>
        <v>957.52840104802033</v>
      </c>
      <c r="AF210" s="547">
        <f t="shared" si="293"/>
        <v>3.6552440597785188E-2</v>
      </c>
      <c r="AH210" s="180">
        <f t="shared" si="294"/>
        <v>0.47042395910359552</v>
      </c>
      <c r="AI210" s="180">
        <f t="shared" si="318"/>
        <v>0.83465648854961827</v>
      </c>
      <c r="AJ210" s="180">
        <f t="shared" si="319"/>
        <v>1.6034492507774951</v>
      </c>
      <c r="AL210" s="564">
        <f t="shared" si="297"/>
        <v>100</v>
      </c>
      <c r="AM210" s="473">
        <f t="shared" si="298"/>
        <v>123.53466799149157</v>
      </c>
      <c r="AO210">
        <f t="shared" si="299"/>
        <v>100</v>
      </c>
      <c r="AP210">
        <f t="shared" si="300"/>
        <v>123.53466799149157</v>
      </c>
      <c r="AR210" s="5">
        <f t="shared" si="314"/>
        <v>8.0948936542159551</v>
      </c>
      <c r="AS210" s="5">
        <f t="shared" si="305"/>
        <v>4.5906106870229006</v>
      </c>
      <c r="AT210" s="5">
        <f t="shared" si="306"/>
        <v>3.5042829671930544</v>
      </c>
      <c r="AU210" s="180">
        <f t="shared" si="307"/>
        <v>0.5670995670995671</v>
      </c>
      <c r="AW210" s="5">
        <f t="shared" si="246"/>
        <v>7.2866836301950801</v>
      </c>
      <c r="AX210" s="5">
        <f t="shared" si="247"/>
        <v>3.0604071246819338</v>
      </c>
      <c r="AY210" s="5">
        <f t="shared" si="248"/>
        <v>0.2044165064195948</v>
      </c>
      <c r="AZ210" s="5"/>
      <c r="BA210" s="180">
        <f t="shared" si="249"/>
        <v>0.36289150716317675</v>
      </c>
      <c r="BB210" s="180">
        <f t="shared" si="250"/>
        <v>0.18755649072288505</v>
      </c>
      <c r="BC210" s="180">
        <f t="shared" si="251"/>
        <v>0.19180250027086607</v>
      </c>
      <c r="BD210" s="180"/>
      <c r="BE210" s="547">
        <f t="shared" si="252"/>
        <v>4.6091586089906683E-2</v>
      </c>
      <c r="BF210" s="547">
        <f t="shared" si="253"/>
        <v>2.3818181818181818E-2</v>
      </c>
      <c r="BG210" s="547">
        <f t="shared" si="254"/>
        <v>1.5441833498936446E-3</v>
      </c>
      <c r="BH210" s="547">
        <f t="shared" si="255"/>
        <v>3.7903617157490394E-3</v>
      </c>
      <c r="BI210">
        <f t="shared" si="256"/>
        <v>2.8999999999999998E-3</v>
      </c>
      <c r="BJ210" s="473">
        <f t="shared" si="257"/>
        <v>78.144312973731189</v>
      </c>
      <c r="BK210" s="180">
        <f t="shared" si="258"/>
        <v>3.4999999999999996E-2</v>
      </c>
      <c r="BL210" s="180">
        <f t="shared" si="259"/>
        <v>3.4999999999999996E-2</v>
      </c>
      <c r="BM210" s="547"/>
      <c r="BO210" s="473">
        <f t="shared" si="260"/>
        <v>69.999999999999986</v>
      </c>
      <c r="BP210" s="547">
        <f t="shared" si="261"/>
        <v>1.4485927056827816E-2</v>
      </c>
      <c r="BQ210" s="547">
        <f t="shared" si="262"/>
        <v>1.2312103024299285E-3</v>
      </c>
      <c r="BR210" s="547">
        <f t="shared" si="263"/>
        <v>1.1036459733046674E-3</v>
      </c>
      <c r="BS210" s="547">
        <f t="shared" si="264"/>
        <v>5.3977351343344505E-3</v>
      </c>
      <c r="BT210" s="657">
        <f t="shared" si="301"/>
        <v>8.6060606060606046E-2</v>
      </c>
      <c r="BU210" s="473">
        <f t="shared" si="308"/>
        <v>108.2791245275029</v>
      </c>
      <c r="BV210" s="180">
        <f t="shared" si="309"/>
        <v>0.25642343750123409</v>
      </c>
      <c r="BW210" s="5">
        <f t="shared" si="310"/>
        <v>2.13</v>
      </c>
      <c r="BX210" s="180">
        <f t="shared" si="311"/>
        <v>0.89254906171650372</v>
      </c>
      <c r="BY210" s="5">
        <f t="shared" si="312"/>
        <v>89.254906171650376</v>
      </c>
      <c r="BZ210">
        <f t="shared" si="313"/>
        <v>100</v>
      </c>
      <c r="CB210" s="582">
        <f t="shared" si="302"/>
        <v>-50</v>
      </c>
      <c r="CC210">
        <f t="shared" si="303"/>
        <v>-50</v>
      </c>
    </row>
    <row r="211" spans="5:81" x14ac:dyDescent="0.25">
      <c r="E211" s="177"/>
      <c r="F211" s="224"/>
      <c r="G211" s="224"/>
      <c r="H211" s="224"/>
      <c r="I211" s="224"/>
      <c r="J211" s="560"/>
      <c r="K211" s="455"/>
      <c r="L211" s="455"/>
      <c r="M211" s="455"/>
      <c r="N211" s="224"/>
      <c r="O211" s="179"/>
      <c r="P211" s="179"/>
      <c r="Q211" s="224"/>
      <c r="R211" s="224"/>
      <c r="S211" s="224"/>
      <c r="T211" s="224"/>
      <c r="U211" s="224"/>
      <c r="V211" s="224"/>
      <c r="W211" s="204"/>
      <c r="X211" s="455"/>
      <c r="Z211" s="224"/>
      <c r="AA211" s="180"/>
      <c r="AB211" s="180"/>
      <c r="AC211" s="180"/>
      <c r="AD211" s="180"/>
      <c r="AE211" s="564"/>
      <c r="AF211" s="547"/>
      <c r="AH211" s="180"/>
      <c r="AI211" s="180"/>
      <c r="AJ211" s="180"/>
      <c r="AL211" s="564"/>
      <c r="AM211" s="473"/>
      <c r="AR211" s="5"/>
      <c r="AS211" s="5"/>
      <c r="AT211" s="5"/>
      <c r="AU211" s="180"/>
      <c r="CB211" s="582"/>
      <c r="CC211" s="558">
        <f>MAX(CC110:CC210)</f>
        <v>-50</v>
      </c>
    </row>
    <row r="212" spans="5:81" x14ac:dyDescent="0.25">
      <c r="G212" s="224"/>
      <c r="H212" s="224"/>
      <c r="I212" s="224"/>
      <c r="J212" s="560"/>
      <c r="K212" s="455"/>
      <c r="L212" s="455"/>
      <c r="M212" s="455"/>
      <c r="N212" s="224"/>
      <c r="O212" s="179"/>
      <c r="P212" s="179"/>
      <c r="Q212" s="224"/>
      <c r="R212" s="224"/>
      <c r="S212" s="224"/>
      <c r="T212" s="224"/>
      <c r="U212" s="224"/>
      <c r="V212" s="224"/>
      <c r="W212" s="204"/>
      <c r="X212" s="455"/>
      <c r="Z212" s="224"/>
      <c r="AA212" s="180"/>
      <c r="AB212" s="180"/>
      <c r="AC212" s="180"/>
      <c r="AD212" s="180"/>
      <c r="AE212" s="564"/>
      <c r="AF212" s="547"/>
      <c r="AH212" s="180"/>
      <c r="AI212" s="180"/>
      <c r="AJ212" s="180"/>
      <c r="AL212" s="564"/>
      <c r="AM212" s="473"/>
      <c r="AR212" s="5"/>
      <c r="AS212" s="5"/>
      <c r="AT212" s="5"/>
      <c r="AU212" s="180"/>
      <c r="CB212" s="582"/>
    </row>
    <row r="213" spans="5:81" x14ac:dyDescent="0.25">
      <c r="G213" s="224"/>
      <c r="H213" s="224"/>
      <c r="I213" s="224"/>
      <c r="J213" s="560"/>
      <c r="K213" s="455"/>
      <c r="L213" s="455"/>
      <c r="M213" s="455"/>
      <c r="N213" s="224"/>
      <c r="O213" s="179"/>
      <c r="P213" s="179"/>
      <c r="Q213" s="224"/>
      <c r="R213" s="224"/>
      <c r="S213" s="224"/>
      <c r="T213" s="224"/>
      <c r="U213" s="224"/>
      <c r="V213" s="224"/>
      <c r="W213" s="204"/>
      <c r="X213" s="455"/>
      <c r="Z213" s="224"/>
      <c r="AA213" s="180"/>
      <c r="AB213" s="180"/>
      <c r="AC213" s="180"/>
      <c r="AD213" s="180"/>
      <c r="AE213" s="564"/>
      <c r="AF213" s="547"/>
      <c r="AH213" s="180"/>
      <c r="AI213" s="180"/>
      <c r="AJ213" s="180"/>
      <c r="AL213" s="564"/>
      <c r="AM213" s="473"/>
      <c r="AR213" s="5"/>
      <c r="AS213" s="5"/>
      <c r="AT213" s="5"/>
      <c r="AU213" s="180"/>
      <c r="CB213" s="582"/>
    </row>
    <row r="214" spans="5:81" x14ac:dyDescent="0.25">
      <c r="E214" s="457" t="s">
        <v>448</v>
      </c>
      <c r="G214" s="224"/>
      <c r="H214" s="224"/>
      <c r="I214" s="224"/>
      <c r="J214" s="560"/>
      <c r="K214" s="455"/>
      <c r="L214" s="455"/>
      <c r="M214" s="455"/>
      <c r="N214" s="224"/>
      <c r="O214" s="179"/>
      <c r="P214" s="179"/>
      <c r="Q214" s="224"/>
      <c r="R214" s="224"/>
      <c r="S214" s="224"/>
      <c r="T214" s="224"/>
      <c r="U214" s="224"/>
      <c r="V214" s="224"/>
      <c r="W214" s="204"/>
      <c r="X214" s="455"/>
      <c r="Z214" s="224"/>
      <c r="AA214" s="180"/>
      <c r="AB214" s="180"/>
      <c r="AC214" s="180"/>
      <c r="AD214" s="180"/>
      <c r="AE214" s="564"/>
      <c r="AF214" s="547"/>
      <c r="AH214" s="180"/>
      <c r="AI214" s="180"/>
      <c r="AJ214" s="180"/>
      <c r="AL214" s="564"/>
      <c r="AM214" s="473"/>
      <c r="AR214" s="5"/>
      <c r="AS214" s="5"/>
      <c r="AT214" s="5"/>
      <c r="AU214" s="180"/>
      <c r="CB214" s="582"/>
    </row>
    <row r="215" spans="5:81" ht="45" customHeight="1" thickBot="1" x14ac:dyDescent="0.3">
      <c r="E215" s="248" t="s">
        <v>25</v>
      </c>
      <c r="F215" s="626" t="s">
        <v>605</v>
      </c>
      <c r="G215" s="456" t="s">
        <v>604</v>
      </c>
      <c r="H215" s="627" t="s">
        <v>606</v>
      </c>
      <c r="I215" s="628" t="s">
        <v>607</v>
      </c>
      <c r="J215" s="249" t="s">
        <v>425</v>
      </c>
      <c r="K215" s="250" t="s">
        <v>431</v>
      </c>
      <c r="L215" s="546" t="s">
        <v>426</v>
      </c>
      <c r="M215" s="546"/>
      <c r="N215" s="251" t="s">
        <v>48</v>
      </c>
      <c r="O215" s="630" t="s">
        <v>615</v>
      </c>
      <c r="P215" s="179"/>
      <c r="Q215" s="546" t="s">
        <v>416</v>
      </c>
      <c r="R215" s="630" t="s">
        <v>609</v>
      </c>
      <c r="S215" s="546" t="s">
        <v>446</v>
      </c>
      <c r="T215" s="630" t="s">
        <v>427</v>
      </c>
      <c r="U215" s="546" t="s">
        <v>479</v>
      </c>
      <c r="V215" s="546" t="s">
        <v>478</v>
      </c>
      <c r="W215" s="566" t="s">
        <v>433</v>
      </c>
      <c r="X215" s="561" t="s">
        <v>438</v>
      </c>
      <c r="Z215" s="252" t="s">
        <v>430</v>
      </c>
      <c r="AA215" s="252" t="s">
        <v>477</v>
      </c>
      <c r="AB215" s="180"/>
      <c r="AC215" s="563"/>
      <c r="AD215" s="252" t="s">
        <v>476</v>
      </c>
      <c r="AE215" s="564"/>
      <c r="AF215" s="547"/>
      <c r="AG215" s="563"/>
      <c r="AH215" s="180"/>
      <c r="AI215" s="567" t="s">
        <v>443</v>
      </c>
      <c r="AJ215" s="567" t="s">
        <v>444</v>
      </c>
      <c r="AL215" s="562" t="s">
        <v>276</v>
      </c>
      <c r="AM215" s="562" t="s">
        <v>445</v>
      </c>
      <c r="AO215" s="252" t="s">
        <v>276</v>
      </c>
      <c r="AP215" s="252" t="s">
        <v>445</v>
      </c>
      <c r="AQ215" s="568"/>
      <c r="AR215" s="252" t="s">
        <v>480</v>
      </c>
      <c r="AS215" s="252" t="s">
        <v>474</v>
      </c>
      <c r="AT215" s="252" t="s">
        <v>475</v>
      </c>
      <c r="AU215" s="252" t="s">
        <v>48</v>
      </c>
      <c r="AV215" s="563"/>
      <c r="AW215" s="252" t="s">
        <v>495</v>
      </c>
      <c r="AX215" s="252"/>
      <c r="AY215" s="252" t="s">
        <v>496</v>
      </c>
      <c r="AZ215" s="563"/>
      <c r="BA215" s="577" t="s">
        <v>469</v>
      </c>
      <c r="BB215" s="252" t="s">
        <v>470</v>
      </c>
      <c r="BC215" s="252"/>
      <c r="BD215" s="563"/>
      <c r="BE215" s="577" t="s">
        <v>487</v>
      </c>
      <c r="BF215" s="252" t="s">
        <v>488</v>
      </c>
      <c r="BG215" s="252" t="s">
        <v>486</v>
      </c>
      <c r="BH215" s="252" t="s">
        <v>482</v>
      </c>
      <c r="BI215" s="252" t="s">
        <v>491</v>
      </c>
      <c r="BJ215" s="252" t="s">
        <v>506</v>
      </c>
      <c r="BK215" s="577" t="s">
        <v>489</v>
      </c>
      <c r="BL215" s="252"/>
      <c r="BM215" s="252" t="s">
        <v>490</v>
      </c>
      <c r="BN215" s="252" t="s">
        <v>498</v>
      </c>
      <c r="BO215" s="252" t="s">
        <v>502</v>
      </c>
      <c r="BP215" s="577" t="s">
        <v>471</v>
      </c>
      <c r="BQ215" s="252" t="s">
        <v>472</v>
      </c>
      <c r="BR215" s="252"/>
      <c r="BS215" s="252" t="s">
        <v>481</v>
      </c>
      <c r="BT215" s="252" t="s">
        <v>499</v>
      </c>
      <c r="BU215" s="252" t="s">
        <v>501</v>
      </c>
      <c r="BV215" s="577" t="s">
        <v>497</v>
      </c>
      <c r="BW215" s="252" t="s">
        <v>224</v>
      </c>
      <c r="BX215" s="252" t="s">
        <v>47</v>
      </c>
      <c r="BY215" s="252" t="s">
        <v>500</v>
      </c>
      <c r="BZ215" s="252"/>
      <c r="CB215" s="582"/>
    </row>
    <row r="216" spans="5:81" x14ac:dyDescent="0.25">
      <c r="E216" s="177">
        <v>0.1</v>
      </c>
      <c r="F216" s="224">
        <v>1.0000000000000001E-9</v>
      </c>
      <c r="G216" s="224">
        <f t="shared" ref="G216:G247" si="321">IF(PLOT_TYPE=1, E216/100*Iout2, min_I*EXP(Q216*rr/100))</f>
        <v>1E-4</v>
      </c>
      <c r="H216" s="224">
        <f t="shared" ref="H216:H247" si="322">F216*Vout</f>
        <v>6.3000000000000002E-9</v>
      </c>
      <c r="I216" s="224">
        <f t="shared" ref="I216:I247" si="323">Vout2*G216</f>
        <v>1.5E-3</v>
      </c>
      <c r="J216" s="560">
        <f t="shared" ref="J216:J279" si="324">VIN_max</f>
        <v>50</v>
      </c>
      <c r="K216" s="455">
        <f t="shared" ref="K216:K279" si="325">(S216+Vfwd1)*Nps</f>
        <v>13.1</v>
      </c>
      <c r="L216" s="455">
        <f t="shared" ref="L216:L279" si="326">(Vout+Vfwd1)*Nps+J216</f>
        <v>63.1</v>
      </c>
      <c r="M216" s="455"/>
      <c r="N216" s="224">
        <f t="shared" ref="N216:N279" si="327">(Vout+Vfwd1)*Nps/((Vout+Vfwd1)*Nps+J216)</f>
        <v>0.20760697305863707</v>
      </c>
      <c r="O216" s="179">
        <f t="shared" ref="O216:O247" si="328">N216*J216*Isw_max*0.5*Efficiency*Pout/(Pout+Pout2)</f>
        <v>2.0033341889689962</v>
      </c>
      <c r="P216" s="179">
        <f t="shared" ref="P216:P247" si="329">N216*J216*Isw_max*0.5*Efficiency*(Pout2/Pout_total)</f>
        <v>4.7698433070690385</v>
      </c>
      <c r="Q216" s="224">
        <f t="shared" ref="Q216:Q279" si="330">O216/Vout</f>
        <v>0.31798955380460259</v>
      </c>
      <c r="R216" s="224">
        <f t="shared" ref="R216:R247" si="331">O216/Vout2</f>
        <v>0.13355561259793308</v>
      </c>
      <c r="S216" s="224">
        <f t="shared" ref="S216:S247" si="332">MIN(Vout,O216/F216)</f>
        <v>6.3</v>
      </c>
      <c r="T216" s="224">
        <f t="shared" ref="T216:T247" si="333">MIN(2*(Vout*F216+Vout2*G216)/(Efficiency*J216*N216), Isw_max)</f>
        <v>3.2112094157760819E-4</v>
      </c>
      <c r="U216" s="224">
        <f t="shared" ref="U216:U279" si="334">L*T216/J216*1000000</f>
        <v>3.5323303573536898E-4</v>
      </c>
      <c r="V216" s="224">
        <f t="shared" ref="V216:V279" si="335">L*T216/K216*1000000</f>
        <v>1.3482176936464466E-3</v>
      </c>
      <c r="W216" s="204">
        <f t="shared" ref="W216:W279" si="336">IF(1/((350000*L)*(1/J216+1/K216))&gt;Isw_min, 350, 0.001/((Isw_min*L)*(1/J216+1/K216)))</f>
        <v>350</v>
      </c>
      <c r="X216" s="455">
        <f t="shared" ref="X216:X279" si="337">MIN(1/(U216+V216)*1000, 350)</f>
        <v>350</v>
      </c>
      <c r="Z216" s="224">
        <f t="shared" ref="Z216:Z279" si="338">1/((W216*1000*L)*(1/J216+1/K216))</f>
        <v>0.539238891061395</v>
      </c>
      <c r="AA216" s="180">
        <f t="shared" ref="AA216:AA279" si="339">L*Z216/K216*1000000</f>
        <v>2.2639800769753222</v>
      </c>
      <c r="AB216" s="180">
        <f t="shared" ref="AB216:AB247" si="340">0.5*AA216*Z216*Nps*W216/1000*(Pout/(Pout+Pout2))</f>
        <v>0.1263812940814858</v>
      </c>
      <c r="AC216" s="180"/>
      <c r="AD216" s="180">
        <f t="shared" ref="AD216:AD279" si="341">L*Isw_min/K216*1000000</f>
        <v>1.217557251908397</v>
      </c>
      <c r="AE216" s="564">
        <f t="shared" ref="AE216:AE247" si="342">MAX(10, F216/(0.5*AD216/1000000*Isw_min*Nps)/1000*Pout_total/Pout)</f>
        <v>10</v>
      </c>
      <c r="AF216" s="547">
        <f t="shared" ref="AF216:AF247" si="343">0.5*AD216/1000000*Isw_min*Nps*W216*1000*(Pout/Pout_total)</f>
        <v>3.6552440597785188E-2</v>
      </c>
      <c r="AH216" s="180">
        <f t="shared" ref="AH216:AH247" si="344">SQRT((H216+I216)/(0.5*L*Fsw_DCM))</f>
        <v>1.2483781894506583E-2</v>
      </c>
      <c r="AI216" s="180">
        <f t="shared" ref="AI216:AI247" si="345">MAX(IF(F216&gt;AB216,T216,AH216),Isw_min)</f>
        <v>0.28999999999999998</v>
      </c>
      <c r="AJ216" s="180">
        <f t="shared" ref="AJ216:AJ247" si="346">IF(F216&gt;AF216, (AI216-Isw_min)/1.08*0.8+1.2, AE216*0.2/350+1)</f>
        <v>1.0057142857142858</v>
      </c>
      <c r="AL216" s="564">
        <f t="shared" ref="AL216:AL247" si="347">F216*1000</f>
        <v>1.0000000000000002E-6</v>
      </c>
      <c r="AM216" s="473">
        <f t="shared" ref="AM216:AM247" si="348">IF(F216&gt;AF216, X216, AE216)</f>
        <v>10</v>
      </c>
      <c r="AO216">
        <f t="shared" ref="AO216:AO279" si="349">IF(H216&gt;O216, "",AL216)</f>
        <v>1.0000000000000002E-6</v>
      </c>
      <c r="AP216">
        <f t="shared" ref="AP216:AP279" si="350">IF(H216&gt;O216, "",AM216)</f>
        <v>10</v>
      </c>
      <c r="AR216" s="5">
        <f t="shared" si="314"/>
        <v>100</v>
      </c>
      <c r="AS216" s="5">
        <f t="shared" si="305"/>
        <v>0.31900000000000001</v>
      </c>
      <c r="AT216" s="5">
        <f t="shared" si="306"/>
        <v>99.680999999999997</v>
      </c>
      <c r="AU216" s="180">
        <f t="shared" si="307"/>
        <v>3.1900000000000001E-3</v>
      </c>
      <c r="CB216" s="582">
        <f t="shared" ref="CB216:CB247" si="351">IF(ABS(F216-Ioutmax_Vinmax)&lt;Iout/200, AM216, -50)</f>
        <v>-50</v>
      </c>
    </row>
    <row r="217" spans="5:81" x14ac:dyDescent="0.25">
      <c r="E217" s="177">
        <v>1</v>
      </c>
      <c r="F217" s="224">
        <f t="shared" ref="F217:F248" si="352">IF(PLOT_TYPE=1, E217/100*Iout_max, min_I*EXP(O217*rr/100))</f>
        <v>1E-3</v>
      </c>
      <c r="G217" s="224">
        <f t="shared" si="321"/>
        <v>1E-3</v>
      </c>
      <c r="H217" s="224">
        <f t="shared" si="322"/>
        <v>6.3E-3</v>
      </c>
      <c r="I217" s="224">
        <f t="shared" si="323"/>
        <v>1.4999999999999999E-2</v>
      </c>
      <c r="J217" s="560">
        <f t="shared" si="324"/>
        <v>50</v>
      </c>
      <c r="K217" s="455">
        <f t="shared" si="325"/>
        <v>13.1</v>
      </c>
      <c r="L217" s="455">
        <f t="shared" si="326"/>
        <v>63.1</v>
      </c>
      <c r="M217" s="455"/>
      <c r="N217" s="224">
        <f t="shared" si="327"/>
        <v>0.20760697305863707</v>
      </c>
      <c r="O217" s="179">
        <f t="shared" si="328"/>
        <v>2.0033341889689962</v>
      </c>
      <c r="P217" s="179">
        <f t="shared" si="329"/>
        <v>4.7698433070690385</v>
      </c>
      <c r="Q217" s="224">
        <f t="shared" si="330"/>
        <v>0.31798955380460259</v>
      </c>
      <c r="R217" s="224">
        <f t="shared" si="331"/>
        <v>0.13355561259793308</v>
      </c>
      <c r="S217" s="224">
        <f t="shared" si="332"/>
        <v>6.3</v>
      </c>
      <c r="T217" s="224">
        <f t="shared" si="333"/>
        <v>4.5598982188295167E-3</v>
      </c>
      <c r="U217" s="224">
        <f t="shared" si="334"/>
        <v>5.0158880407124677E-3</v>
      </c>
      <c r="V217" s="224">
        <f t="shared" si="335"/>
        <v>1.9144610842414003E-2</v>
      </c>
      <c r="W217" s="204">
        <f t="shared" si="336"/>
        <v>350</v>
      </c>
      <c r="X217" s="455">
        <f t="shared" si="337"/>
        <v>350</v>
      </c>
      <c r="Z217" s="224">
        <f t="shared" si="338"/>
        <v>0.539238891061395</v>
      </c>
      <c r="AA217" s="180">
        <f t="shared" si="339"/>
        <v>2.2639800769753222</v>
      </c>
      <c r="AB217" s="180">
        <f t="shared" si="340"/>
        <v>0.1263812940814858</v>
      </c>
      <c r="AC217" s="180"/>
      <c r="AD217" s="180">
        <f t="shared" si="341"/>
        <v>1.217557251908397</v>
      </c>
      <c r="AE217" s="564">
        <f t="shared" si="342"/>
        <v>10</v>
      </c>
      <c r="AF217" s="547">
        <f t="shared" si="343"/>
        <v>3.6552440597785188E-2</v>
      </c>
      <c r="AH217" s="180">
        <f t="shared" si="344"/>
        <v>4.7042395910359552E-2</v>
      </c>
      <c r="AI217" s="180">
        <f t="shared" si="345"/>
        <v>0.28999999999999998</v>
      </c>
      <c r="AJ217" s="180">
        <f t="shared" si="346"/>
        <v>1.0057142857142858</v>
      </c>
      <c r="AL217" s="564">
        <f t="shared" si="347"/>
        <v>1</v>
      </c>
      <c r="AM217" s="473">
        <f t="shared" si="348"/>
        <v>10</v>
      </c>
      <c r="AO217">
        <f t="shared" si="349"/>
        <v>1</v>
      </c>
      <c r="AP217">
        <f t="shared" si="350"/>
        <v>10</v>
      </c>
      <c r="AR217" s="5">
        <f t="shared" si="314"/>
        <v>100</v>
      </c>
      <c r="AS217" s="5">
        <f t="shared" si="305"/>
        <v>0.31900000000000001</v>
      </c>
      <c r="AT217" s="5">
        <f t="shared" si="306"/>
        <v>99.680999999999997</v>
      </c>
      <c r="AU217" s="180">
        <f t="shared" si="307"/>
        <v>3.1900000000000001E-3</v>
      </c>
      <c r="CB217" s="582">
        <f t="shared" si="351"/>
        <v>-50</v>
      </c>
    </row>
    <row r="218" spans="5:81" x14ac:dyDescent="0.25">
      <c r="E218" s="177">
        <v>2</v>
      </c>
      <c r="F218" s="224">
        <f t="shared" si="352"/>
        <v>2E-3</v>
      </c>
      <c r="G218" s="224">
        <f t="shared" si="321"/>
        <v>2E-3</v>
      </c>
      <c r="H218" s="224">
        <f t="shared" si="322"/>
        <v>1.26E-2</v>
      </c>
      <c r="I218" s="224">
        <f t="shared" si="323"/>
        <v>0.03</v>
      </c>
      <c r="J218" s="560">
        <f t="shared" si="324"/>
        <v>50</v>
      </c>
      <c r="K218" s="455">
        <f t="shared" si="325"/>
        <v>13.1</v>
      </c>
      <c r="L218" s="455">
        <f t="shared" si="326"/>
        <v>63.1</v>
      </c>
      <c r="M218" s="455"/>
      <c r="N218" s="224">
        <f t="shared" si="327"/>
        <v>0.20760697305863707</v>
      </c>
      <c r="O218" s="179">
        <f t="shared" si="328"/>
        <v>2.0033341889689962</v>
      </c>
      <c r="P218" s="179">
        <f t="shared" si="329"/>
        <v>4.7698433070690385</v>
      </c>
      <c r="Q218" s="224">
        <f t="shared" si="330"/>
        <v>0.31798955380460259</v>
      </c>
      <c r="R218" s="224">
        <f t="shared" si="331"/>
        <v>0.13355561259793308</v>
      </c>
      <c r="S218" s="224">
        <f t="shared" si="332"/>
        <v>6.3</v>
      </c>
      <c r="T218" s="224">
        <f t="shared" si="333"/>
        <v>9.1197964376590335E-3</v>
      </c>
      <c r="U218" s="224">
        <f t="shared" si="334"/>
        <v>1.0031776081424935E-2</v>
      </c>
      <c r="V218" s="224">
        <f t="shared" si="335"/>
        <v>3.8289221684828005E-2</v>
      </c>
      <c r="W218" s="204">
        <f t="shared" si="336"/>
        <v>350</v>
      </c>
      <c r="X218" s="455">
        <f t="shared" si="337"/>
        <v>350</v>
      </c>
      <c r="Z218" s="224">
        <f t="shared" si="338"/>
        <v>0.539238891061395</v>
      </c>
      <c r="AA218" s="180">
        <f t="shared" si="339"/>
        <v>2.2639800769753222</v>
      </c>
      <c r="AB218" s="180">
        <f t="shared" si="340"/>
        <v>0.1263812940814858</v>
      </c>
      <c r="AC218" s="180"/>
      <c r="AD218" s="180">
        <f t="shared" si="341"/>
        <v>1.217557251908397</v>
      </c>
      <c r="AE218" s="564">
        <f t="shared" si="342"/>
        <v>19.150568020960407</v>
      </c>
      <c r="AF218" s="547">
        <f t="shared" si="343"/>
        <v>3.6552440597785188E-2</v>
      </c>
      <c r="AH218" s="180">
        <f t="shared" si="344"/>
        <v>6.6527994302955099E-2</v>
      </c>
      <c r="AI218" s="180">
        <f t="shared" si="345"/>
        <v>0.28999999999999998</v>
      </c>
      <c r="AJ218" s="180">
        <f t="shared" si="346"/>
        <v>1.0109431817262631</v>
      </c>
      <c r="AL218" s="564">
        <f t="shared" si="347"/>
        <v>2</v>
      </c>
      <c r="AM218" s="473">
        <f t="shared" si="348"/>
        <v>19.150568020960407</v>
      </c>
      <c r="AO218">
        <f t="shared" si="349"/>
        <v>2</v>
      </c>
      <c r="AP218">
        <f t="shared" si="350"/>
        <v>19.150568020960407</v>
      </c>
      <c r="AR218" s="5">
        <f t="shared" si="314"/>
        <v>52.217772282550278</v>
      </c>
      <c r="AS218" s="5">
        <f t="shared" si="305"/>
        <v>0.31900000000000001</v>
      </c>
      <c r="AT218" s="5">
        <f t="shared" si="306"/>
        <v>51.898772282550276</v>
      </c>
      <c r="AU218" s="180">
        <f t="shared" si="307"/>
        <v>6.1090311986863695E-3</v>
      </c>
      <c r="CB218" s="582">
        <f t="shared" si="351"/>
        <v>-50</v>
      </c>
    </row>
    <row r="219" spans="5:81" x14ac:dyDescent="0.25">
      <c r="E219" s="177">
        <v>3</v>
      </c>
      <c r="F219" s="224">
        <f t="shared" si="352"/>
        <v>3.0000000000000001E-3</v>
      </c>
      <c r="G219" s="224">
        <f t="shared" si="321"/>
        <v>3.0000000000000001E-3</v>
      </c>
      <c r="H219" s="224">
        <f t="shared" si="322"/>
        <v>1.89E-2</v>
      </c>
      <c r="I219" s="224">
        <f t="shared" si="323"/>
        <v>4.4999999999999998E-2</v>
      </c>
      <c r="J219" s="560">
        <f t="shared" si="324"/>
        <v>50</v>
      </c>
      <c r="K219" s="455">
        <f t="shared" si="325"/>
        <v>13.1</v>
      </c>
      <c r="L219" s="455">
        <f t="shared" si="326"/>
        <v>63.1</v>
      </c>
      <c r="M219" s="455"/>
      <c r="N219" s="224">
        <f t="shared" si="327"/>
        <v>0.20760697305863707</v>
      </c>
      <c r="O219" s="179">
        <f t="shared" si="328"/>
        <v>2.0033341889689962</v>
      </c>
      <c r="P219" s="179">
        <f t="shared" si="329"/>
        <v>4.7698433070690385</v>
      </c>
      <c r="Q219" s="224">
        <f t="shared" si="330"/>
        <v>0.31798955380460259</v>
      </c>
      <c r="R219" s="224">
        <f t="shared" si="331"/>
        <v>0.13355561259793308</v>
      </c>
      <c r="S219" s="224">
        <f t="shared" si="332"/>
        <v>6.3</v>
      </c>
      <c r="T219" s="224">
        <f t="shared" si="333"/>
        <v>1.367969465648855E-2</v>
      </c>
      <c r="U219" s="224">
        <f t="shared" si="334"/>
        <v>1.5047664122137405E-2</v>
      </c>
      <c r="V219" s="224">
        <f t="shared" si="335"/>
        <v>5.7433832527242004E-2</v>
      </c>
      <c r="W219" s="204">
        <f t="shared" si="336"/>
        <v>350</v>
      </c>
      <c r="X219" s="455">
        <f t="shared" si="337"/>
        <v>350</v>
      </c>
      <c r="Z219" s="224">
        <f t="shared" si="338"/>
        <v>0.539238891061395</v>
      </c>
      <c r="AA219" s="180">
        <f t="shared" si="339"/>
        <v>2.2639800769753222</v>
      </c>
      <c r="AB219" s="180">
        <f t="shared" si="340"/>
        <v>0.1263812940814858</v>
      </c>
      <c r="AC219" s="180"/>
      <c r="AD219" s="180">
        <f t="shared" si="341"/>
        <v>1.217557251908397</v>
      </c>
      <c r="AE219" s="564">
        <f t="shared" si="342"/>
        <v>28.725852031440606</v>
      </c>
      <c r="AF219" s="547">
        <f t="shared" si="343"/>
        <v>3.6552440597785188E-2</v>
      </c>
      <c r="AH219" s="180">
        <f t="shared" si="344"/>
        <v>8.1479819826513117E-2</v>
      </c>
      <c r="AI219" s="180">
        <f t="shared" si="345"/>
        <v>0.28999999999999998</v>
      </c>
      <c r="AJ219" s="180">
        <f t="shared" si="346"/>
        <v>1.0164147725893946</v>
      </c>
      <c r="AL219" s="564">
        <f t="shared" si="347"/>
        <v>3</v>
      </c>
      <c r="AM219" s="473">
        <f t="shared" si="348"/>
        <v>28.725852031440606</v>
      </c>
      <c r="AO219">
        <f t="shared" si="349"/>
        <v>3</v>
      </c>
      <c r="AP219">
        <f t="shared" si="350"/>
        <v>28.725852031440606</v>
      </c>
      <c r="AR219" s="5">
        <f t="shared" si="314"/>
        <v>34.811848188366859</v>
      </c>
      <c r="AS219" s="5">
        <f t="shared" si="305"/>
        <v>0.31900000000000001</v>
      </c>
      <c r="AT219" s="5">
        <f t="shared" si="306"/>
        <v>34.492848188366857</v>
      </c>
      <c r="AU219" s="180">
        <f t="shared" si="307"/>
        <v>9.163546798029552E-3</v>
      </c>
      <c r="CB219" s="582">
        <f t="shared" si="351"/>
        <v>-50</v>
      </c>
    </row>
    <row r="220" spans="5:81" x14ac:dyDescent="0.25">
      <c r="E220" s="177">
        <v>4</v>
      </c>
      <c r="F220" s="224">
        <f t="shared" si="352"/>
        <v>4.0000000000000001E-3</v>
      </c>
      <c r="G220" s="224">
        <f t="shared" si="321"/>
        <v>4.0000000000000001E-3</v>
      </c>
      <c r="H220" s="224">
        <f t="shared" si="322"/>
        <v>2.52E-2</v>
      </c>
      <c r="I220" s="224">
        <f t="shared" si="323"/>
        <v>0.06</v>
      </c>
      <c r="J220" s="560">
        <f t="shared" si="324"/>
        <v>50</v>
      </c>
      <c r="K220" s="455">
        <f t="shared" si="325"/>
        <v>13.1</v>
      </c>
      <c r="L220" s="455">
        <f t="shared" si="326"/>
        <v>63.1</v>
      </c>
      <c r="M220" s="455"/>
      <c r="N220" s="224">
        <f t="shared" si="327"/>
        <v>0.20760697305863707</v>
      </c>
      <c r="O220" s="179">
        <f t="shared" si="328"/>
        <v>2.0033341889689962</v>
      </c>
      <c r="P220" s="179">
        <f t="shared" si="329"/>
        <v>4.7698433070690385</v>
      </c>
      <c r="Q220" s="224">
        <f t="shared" si="330"/>
        <v>0.31798955380460259</v>
      </c>
      <c r="R220" s="224">
        <f t="shared" si="331"/>
        <v>0.13355561259793308</v>
      </c>
      <c r="S220" s="224">
        <f t="shared" si="332"/>
        <v>6.3</v>
      </c>
      <c r="T220" s="224">
        <f t="shared" si="333"/>
        <v>1.8239592875318067E-2</v>
      </c>
      <c r="U220" s="224">
        <f t="shared" si="334"/>
        <v>2.0063552162849871E-2</v>
      </c>
      <c r="V220" s="224">
        <f t="shared" si="335"/>
        <v>7.657844336965601E-2</v>
      </c>
      <c r="W220" s="204">
        <f t="shared" si="336"/>
        <v>350</v>
      </c>
      <c r="X220" s="455">
        <f t="shared" si="337"/>
        <v>350</v>
      </c>
      <c r="Z220" s="224">
        <f t="shared" si="338"/>
        <v>0.539238891061395</v>
      </c>
      <c r="AA220" s="180">
        <f t="shared" si="339"/>
        <v>2.2639800769753222</v>
      </c>
      <c r="AB220" s="180">
        <f t="shared" si="340"/>
        <v>0.1263812940814858</v>
      </c>
      <c r="AC220" s="180"/>
      <c r="AD220" s="180">
        <f t="shared" si="341"/>
        <v>1.217557251908397</v>
      </c>
      <c r="AE220" s="564">
        <f t="shared" si="342"/>
        <v>38.301136041920813</v>
      </c>
      <c r="AF220" s="547">
        <f t="shared" si="343"/>
        <v>3.6552440597785188E-2</v>
      </c>
      <c r="AH220" s="180">
        <f t="shared" si="344"/>
        <v>9.4084791820719105E-2</v>
      </c>
      <c r="AI220" s="180">
        <f t="shared" si="345"/>
        <v>0.28999999999999998</v>
      </c>
      <c r="AJ220" s="180">
        <f t="shared" si="346"/>
        <v>1.0218863634525261</v>
      </c>
      <c r="AL220" s="564">
        <f t="shared" si="347"/>
        <v>4</v>
      </c>
      <c r="AM220" s="473">
        <f t="shared" si="348"/>
        <v>38.301136041920813</v>
      </c>
      <c r="AO220">
        <f t="shared" si="349"/>
        <v>4</v>
      </c>
      <c r="AP220">
        <f t="shared" si="350"/>
        <v>38.301136041920813</v>
      </c>
      <c r="AR220" s="5">
        <f t="shared" si="314"/>
        <v>26.108886141275139</v>
      </c>
      <c r="AS220" s="5">
        <f t="shared" si="305"/>
        <v>0.31900000000000001</v>
      </c>
      <c r="AT220" s="5">
        <f t="shared" si="306"/>
        <v>25.78988614127514</v>
      </c>
      <c r="AU220" s="180">
        <f t="shared" si="307"/>
        <v>1.2218062397372739E-2</v>
      </c>
      <c r="CB220" s="582">
        <f t="shared" si="351"/>
        <v>-50</v>
      </c>
    </row>
    <row r="221" spans="5:81" x14ac:dyDescent="0.25">
      <c r="E221" s="177">
        <v>5</v>
      </c>
      <c r="F221" s="224">
        <f t="shared" si="352"/>
        <v>5.000000000000001E-3</v>
      </c>
      <c r="G221" s="224">
        <f t="shared" si="321"/>
        <v>5.000000000000001E-3</v>
      </c>
      <c r="H221" s="224">
        <f t="shared" si="322"/>
        <v>3.1500000000000007E-2</v>
      </c>
      <c r="I221" s="224">
        <f t="shared" si="323"/>
        <v>7.5000000000000011E-2</v>
      </c>
      <c r="J221" s="560">
        <f t="shared" si="324"/>
        <v>50</v>
      </c>
      <c r="K221" s="455">
        <f t="shared" si="325"/>
        <v>13.1</v>
      </c>
      <c r="L221" s="455">
        <f t="shared" si="326"/>
        <v>63.1</v>
      </c>
      <c r="M221" s="455"/>
      <c r="N221" s="224">
        <f t="shared" si="327"/>
        <v>0.20760697305863707</v>
      </c>
      <c r="O221" s="179">
        <f t="shared" si="328"/>
        <v>2.0033341889689962</v>
      </c>
      <c r="P221" s="179">
        <f t="shared" si="329"/>
        <v>4.7698433070690385</v>
      </c>
      <c r="Q221" s="224">
        <f t="shared" si="330"/>
        <v>0.31798955380460259</v>
      </c>
      <c r="R221" s="224">
        <f t="shared" si="331"/>
        <v>0.13355561259793308</v>
      </c>
      <c r="S221" s="224">
        <f t="shared" si="332"/>
        <v>6.3</v>
      </c>
      <c r="T221" s="224">
        <f t="shared" si="333"/>
        <v>2.2799491094147587E-2</v>
      </c>
      <c r="U221" s="224">
        <f t="shared" si="334"/>
        <v>2.5079440203562346E-2</v>
      </c>
      <c r="V221" s="224">
        <f t="shared" si="335"/>
        <v>9.572305421207003E-2</v>
      </c>
      <c r="W221" s="204">
        <f t="shared" si="336"/>
        <v>350</v>
      </c>
      <c r="X221" s="455">
        <f t="shared" si="337"/>
        <v>350</v>
      </c>
      <c r="Z221" s="224">
        <f t="shared" si="338"/>
        <v>0.539238891061395</v>
      </c>
      <c r="AA221" s="180">
        <f t="shared" si="339"/>
        <v>2.2639800769753222</v>
      </c>
      <c r="AB221" s="180">
        <f t="shared" si="340"/>
        <v>0.1263812940814858</v>
      </c>
      <c r="AC221" s="180"/>
      <c r="AD221" s="180">
        <f t="shared" si="341"/>
        <v>1.217557251908397</v>
      </c>
      <c r="AE221" s="564">
        <f t="shared" si="342"/>
        <v>47.876420052401031</v>
      </c>
      <c r="AF221" s="547">
        <f t="shared" si="343"/>
        <v>3.6552440597785188E-2</v>
      </c>
      <c r="AH221" s="180">
        <f t="shared" si="344"/>
        <v>0.10518999508002207</v>
      </c>
      <c r="AI221" s="180">
        <f t="shared" si="345"/>
        <v>0.28999999999999998</v>
      </c>
      <c r="AJ221" s="180">
        <f t="shared" si="346"/>
        <v>1.0273579543156577</v>
      </c>
      <c r="AL221" s="564">
        <f t="shared" si="347"/>
        <v>5.0000000000000009</v>
      </c>
      <c r="AM221" s="473">
        <f t="shared" si="348"/>
        <v>47.876420052401031</v>
      </c>
      <c r="AO221">
        <f t="shared" si="349"/>
        <v>5.0000000000000009</v>
      </c>
      <c r="AP221">
        <f t="shared" si="350"/>
        <v>47.876420052401031</v>
      </c>
      <c r="AR221" s="5">
        <f t="shared" si="314"/>
        <v>20.887108913020107</v>
      </c>
      <c r="AS221" s="5">
        <f t="shared" si="305"/>
        <v>0.31900000000000001</v>
      </c>
      <c r="AT221" s="5">
        <f t="shared" si="306"/>
        <v>20.568108913020108</v>
      </c>
      <c r="AU221" s="180">
        <f t="shared" si="307"/>
        <v>1.5272577996715928E-2</v>
      </c>
      <c r="CB221" s="582">
        <f t="shared" si="351"/>
        <v>-50</v>
      </c>
    </row>
    <row r="222" spans="5:81" x14ac:dyDescent="0.25">
      <c r="E222" s="177">
        <v>6</v>
      </c>
      <c r="F222" s="224">
        <f t="shared" si="352"/>
        <v>6.0000000000000001E-3</v>
      </c>
      <c r="G222" s="224">
        <f t="shared" si="321"/>
        <v>6.0000000000000001E-3</v>
      </c>
      <c r="H222" s="224">
        <f t="shared" si="322"/>
        <v>3.78E-2</v>
      </c>
      <c r="I222" s="224">
        <f t="shared" si="323"/>
        <v>0.09</v>
      </c>
      <c r="J222" s="560">
        <f t="shared" si="324"/>
        <v>50</v>
      </c>
      <c r="K222" s="455">
        <f t="shared" si="325"/>
        <v>13.1</v>
      </c>
      <c r="L222" s="455">
        <f t="shared" si="326"/>
        <v>63.1</v>
      </c>
      <c r="M222" s="455"/>
      <c r="N222" s="224">
        <f t="shared" si="327"/>
        <v>0.20760697305863707</v>
      </c>
      <c r="O222" s="179">
        <f t="shared" si="328"/>
        <v>2.0033341889689962</v>
      </c>
      <c r="P222" s="179">
        <f t="shared" si="329"/>
        <v>4.7698433070690385</v>
      </c>
      <c r="Q222" s="224">
        <f t="shared" si="330"/>
        <v>0.31798955380460259</v>
      </c>
      <c r="R222" s="224">
        <f t="shared" si="331"/>
        <v>0.13355561259793308</v>
      </c>
      <c r="S222" s="224">
        <f t="shared" si="332"/>
        <v>6.3</v>
      </c>
      <c r="T222" s="224">
        <f t="shared" si="333"/>
        <v>2.73593893129771E-2</v>
      </c>
      <c r="U222" s="224">
        <f t="shared" si="334"/>
        <v>3.009532824427481E-2</v>
      </c>
      <c r="V222" s="224">
        <f t="shared" si="335"/>
        <v>0.11486766505448401</v>
      </c>
      <c r="W222" s="204">
        <f t="shared" si="336"/>
        <v>350</v>
      </c>
      <c r="X222" s="455">
        <f t="shared" si="337"/>
        <v>350</v>
      </c>
      <c r="Z222" s="224">
        <f t="shared" si="338"/>
        <v>0.539238891061395</v>
      </c>
      <c r="AA222" s="180">
        <f t="shared" si="339"/>
        <v>2.2639800769753222</v>
      </c>
      <c r="AB222" s="180">
        <f t="shared" si="340"/>
        <v>0.1263812940814858</v>
      </c>
      <c r="AC222" s="180"/>
      <c r="AD222" s="180">
        <f t="shared" si="341"/>
        <v>1.217557251908397</v>
      </c>
      <c r="AE222" s="564">
        <f t="shared" si="342"/>
        <v>57.451704062881213</v>
      </c>
      <c r="AF222" s="547">
        <f t="shared" si="343"/>
        <v>3.6552440597785188E-2</v>
      </c>
      <c r="AH222" s="180">
        <f t="shared" si="344"/>
        <v>0.11522986625837105</v>
      </c>
      <c r="AI222" s="180">
        <f t="shared" si="345"/>
        <v>0.28999999999999998</v>
      </c>
      <c r="AJ222" s="180">
        <f t="shared" si="346"/>
        <v>1.0328295451787892</v>
      </c>
      <c r="AL222" s="564">
        <f t="shared" si="347"/>
        <v>6</v>
      </c>
      <c r="AM222" s="473">
        <f t="shared" si="348"/>
        <v>57.451704062881213</v>
      </c>
      <c r="AO222">
        <f t="shared" si="349"/>
        <v>6</v>
      </c>
      <c r="AP222">
        <f t="shared" si="350"/>
        <v>57.451704062881213</v>
      </c>
      <c r="AR222" s="5">
        <f t="shared" si="314"/>
        <v>17.40592409418343</v>
      </c>
      <c r="AS222" s="5">
        <f t="shared" si="305"/>
        <v>0.31900000000000001</v>
      </c>
      <c r="AT222" s="5">
        <f t="shared" si="306"/>
        <v>17.086924094183431</v>
      </c>
      <c r="AU222" s="180">
        <f t="shared" si="307"/>
        <v>1.8327093596059104E-2</v>
      </c>
      <c r="CB222" s="582">
        <f t="shared" si="351"/>
        <v>-50</v>
      </c>
    </row>
    <row r="223" spans="5:81" x14ac:dyDescent="0.25">
      <c r="E223" s="177">
        <v>7</v>
      </c>
      <c r="F223" s="224">
        <f t="shared" si="352"/>
        <v>7.000000000000001E-3</v>
      </c>
      <c r="G223" s="224">
        <f t="shared" si="321"/>
        <v>7.000000000000001E-3</v>
      </c>
      <c r="H223" s="224">
        <f t="shared" si="322"/>
        <v>4.4100000000000007E-2</v>
      </c>
      <c r="I223" s="224">
        <f t="shared" si="323"/>
        <v>0.10500000000000001</v>
      </c>
      <c r="J223" s="560">
        <f t="shared" si="324"/>
        <v>50</v>
      </c>
      <c r="K223" s="455">
        <f t="shared" si="325"/>
        <v>13.1</v>
      </c>
      <c r="L223" s="455">
        <f t="shared" si="326"/>
        <v>63.1</v>
      </c>
      <c r="M223" s="455"/>
      <c r="N223" s="224">
        <f t="shared" si="327"/>
        <v>0.20760697305863707</v>
      </c>
      <c r="O223" s="179">
        <f t="shared" si="328"/>
        <v>2.0033341889689962</v>
      </c>
      <c r="P223" s="179">
        <f t="shared" si="329"/>
        <v>4.7698433070690385</v>
      </c>
      <c r="Q223" s="224">
        <f t="shared" si="330"/>
        <v>0.31798955380460259</v>
      </c>
      <c r="R223" s="224">
        <f t="shared" si="331"/>
        <v>0.13355561259793308</v>
      </c>
      <c r="S223" s="224">
        <f t="shared" si="332"/>
        <v>6.3</v>
      </c>
      <c r="T223" s="224">
        <f t="shared" si="333"/>
        <v>3.1919287531806624E-2</v>
      </c>
      <c r="U223" s="224">
        <f t="shared" si="334"/>
        <v>3.5111216284987284E-2</v>
      </c>
      <c r="V223" s="224">
        <f t="shared" si="335"/>
        <v>0.13401227589689804</v>
      </c>
      <c r="W223" s="204">
        <f t="shared" si="336"/>
        <v>350</v>
      </c>
      <c r="X223" s="455">
        <f t="shared" si="337"/>
        <v>350</v>
      </c>
      <c r="Z223" s="224">
        <f t="shared" si="338"/>
        <v>0.539238891061395</v>
      </c>
      <c r="AA223" s="180">
        <f t="shared" si="339"/>
        <v>2.2639800769753222</v>
      </c>
      <c r="AB223" s="180">
        <f t="shared" si="340"/>
        <v>0.1263812940814858</v>
      </c>
      <c r="AC223" s="180"/>
      <c r="AD223" s="180">
        <f t="shared" si="341"/>
        <v>1.217557251908397</v>
      </c>
      <c r="AE223" s="564">
        <f t="shared" si="342"/>
        <v>67.026988073361437</v>
      </c>
      <c r="AF223" s="547">
        <f t="shared" si="343"/>
        <v>3.6552440597785188E-2</v>
      </c>
      <c r="AH223" s="180">
        <f t="shared" si="344"/>
        <v>0.12446248065545332</v>
      </c>
      <c r="AI223" s="180">
        <f t="shared" si="345"/>
        <v>0.28999999999999998</v>
      </c>
      <c r="AJ223" s="180">
        <f t="shared" si="346"/>
        <v>1.0383011360419208</v>
      </c>
      <c r="AL223" s="564">
        <f t="shared" si="347"/>
        <v>7.0000000000000009</v>
      </c>
      <c r="AM223" s="473">
        <f t="shared" si="348"/>
        <v>67.026988073361437</v>
      </c>
      <c r="AO223">
        <f t="shared" si="349"/>
        <v>7.0000000000000009</v>
      </c>
      <c r="AP223">
        <f t="shared" si="350"/>
        <v>67.026988073361437</v>
      </c>
      <c r="AR223" s="5">
        <f t="shared" si="314"/>
        <v>14.919363509300076</v>
      </c>
      <c r="AS223" s="5">
        <f t="shared" si="305"/>
        <v>0.31900000000000001</v>
      </c>
      <c r="AT223" s="5">
        <f t="shared" si="306"/>
        <v>14.600363509300076</v>
      </c>
      <c r="AU223" s="180">
        <f t="shared" si="307"/>
        <v>2.1381609195402298E-2</v>
      </c>
      <c r="CB223" s="582">
        <f t="shared" si="351"/>
        <v>-50</v>
      </c>
    </row>
    <row r="224" spans="5:81" x14ac:dyDescent="0.25">
      <c r="E224" s="177">
        <v>8</v>
      </c>
      <c r="F224" s="224">
        <f t="shared" si="352"/>
        <v>8.0000000000000002E-3</v>
      </c>
      <c r="G224" s="224">
        <f t="shared" si="321"/>
        <v>8.0000000000000002E-3</v>
      </c>
      <c r="H224" s="224">
        <f t="shared" si="322"/>
        <v>5.04E-2</v>
      </c>
      <c r="I224" s="224">
        <f t="shared" si="323"/>
        <v>0.12</v>
      </c>
      <c r="J224" s="560">
        <f t="shared" si="324"/>
        <v>50</v>
      </c>
      <c r="K224" s="455">
        <f t="shared" si="325"/>
        <v>13.1</v>
      </c>
      <c r="L224" s="455">
        <f t="shared" si="326"/>
        <v>63.1</v>
      </c>
      <c r="M224" s="455"/>
      <c r="N224" s="224">
        <f t="shared" si="327"/>
        <v>0.20760697305863707</v>
      </c>
      <c r="O224" s="179">
        <f t="shared" si="328"/>
        <v>2.0033341889689962</v>
      </c>
      <c r="P224" s="179">
        <f t="shared" si="329"/>
        <v>4.7698433070690385</v>
      </c>
      <c r="Q224" s="224">
        <f t="shared" si="330"/>
        <v>0.31798955380460259</v>
      </c>
      <c r="R224" s="224">
        <f t="shared" si="331"/>
        <v>0.13355561259793308</v>
      </c>
      <c r="S224" s="224">
        <f t="shared" si="332"/>
        <v>6.3</v>
      </c>
      <c r="T224" s="224">
        <f t="shared" si="333"/>
        <v>3.6479185750636134E-2</v>
      </c>
      <c r="U224" s="224">
        <f t="shared" si="334"/>
        <v>4.0127104325699742E-2</v>
      </c>
      <c r="V224" s="224">
        <f t="shared" si="335"/>
        <v>0.15315688673931202</v>
      </c>
      <c r="W224" s="204">
        <f t="shared" si="336"/>
        <v>350</v>
      </c>
      <c r="X224" s="455">
        <f t="shared" si="337"/>
        <v>350</v>
      </c>
      <c r="Z224" s="224">
        <f t="shared" si="338"/>
        <v>0.539238891061395</v>
      </c>
      <c r="AA224" s="180">
        <f t="shared" si="339"/>
        <v>2.2639800769753222</v>
      </c>
      <c r="AB224" s="180">
        <f t="shared" si="340"/>
        <v>0.1263812940814858</v>
      </c>
      <c r="AC224" s="180"/>
      <c r="AD224" s="180">
        <f t="shared" si="341"/>
        <v>1.217557251908397</v>
      </c>
      <c r="AE224" s="564">
        <f t="shared" si="342"/>
        <v>76.602272083841626</v>
      </c>
      <c r="AF224" s="547">
        <f t="shared" si="343"/>
        <v>3.6552440597785188E-2</v>
      </c>
      <c r="AH224" s="180">
        <f t="shared" si="344"/>
        <v>0.1330559886059102</v>
      </c>
      <c r="AI224" s="180">
        <f t="shared" si="345"/>
        <v>0.28999999999999998</v>
      </c>
      <c r="AJ224" s="180">
        <f t="shared" si="346"/>
        <v>1.0437727269050523</v>
      </c>
      <c r="AL224" s="564">
        <f t="shared" si="347"/>
        <v>8</v>
      </c>
      <c r="AM224" s="473">
        <f t="shared" si="348"/>
        <v>76.602272083841626</v>
      </c>
      <c r="AO224">
        <f t="shared" si="349"/>
        <v>8</v>
      </c>
      <c r="AP224">
        <f t="shared" si="350"/>
        <v>76.602272083841626</v>
      </c>
      <c r="AR224" s="5">
        <f t="shared" si="314"/>
        <v>13.05444307063757</v>
      </c>
      <c r="AS224" s="5">
        <f t="shared" si="305"/>
        <v>0.31900000000000001</v>
      </c>
      <c r="AT224" s="5">
        <f t="shared" si="306"/>
        <v>12.735443070637569</v>
      </c>
      <c r="AU224" s="180">
        <f t="shared" si="307"/>
        <v>2.4436124794745478E-2</v>
      </c>
      <c r="CB224" s="582">
        <f t="shared" si="351"/>
        <v>-50</v>
      </c>
    </row>
    <row r="225" spans="5:80" x14ac:dyDescent="0.25">
      <c r="E225" s="177">
        <v>9</v>
      </c>
      <c r="F225" s="224">
        <f t="shared" si="352"/>
        <v>8.9999999999999993E-3</v>
      </c>
      <c r="G225" s="224">
        <f t="shared" si="321"/>
        <v>8.9999999999999993E-3</v>
      </c>
      <c r="H225" s="224">
        <f t="shared" si="322"/>
        <v>5.6699999999999993E-2</v>
      </c>
      <c r="I225" s="224">
        <f t="shared" si="323"/>
        <v>0.13499999999999998</v>
      </c>
      <c r="J225" s="560">
        <f t="shared" si="324"/>
        <v>50</v>
      </c>
      <c r="K225" s="455">
        <f t="shared" si="325"/>
        <v>13.1</v>
      </c>
      <c r="L225" s="455">
        <f t="shared" si="326"/>
        <v>63.1</v>
      </c>
      <c r="M225" s="455"/>
      <c r="N225" s="224">
        <f t="shared" si="327"/>
        <v>0.20760697305863707</v>
      </c>
      <c r="O225" s="179">
        <f t="shared" si="328"/>
        <v>2.0033341889689962</v>
      </c>
      <c r="P225" s="179">
        <f t="shared" si="329"/>
        <v>4.7698433070690385</v>
      </c>
      <c r="Q225" s="224">
        <f t="shared" si="330"/>
        <v>0.31798955380460259</v>
      </c>
      <c r="R225" s="224">
        <f t="shared" si="331"/>
        <v>0.13355561259793308</v>
      </c>
      <c r="S225" s="224">
        <f t="shared" si="332"/>
        <v>6.3</v>
      </c>
      <c r="T225" s="224">
        <f t="shared" si="333"/>
        <v>4.1039083969465651E-2</v>
      </c>
      <c r="U225" s="224">
        <f t="shared" si="334"/>
        <v>4.514299236641222E-2</v>
      </c>
      <c r="V225" s="224">
        <f t="shared" si="335"/>
        <v>0.17230149758172603</v>
      </c>
      <c r="W225" s="204">
        <f t="shared" si="336"/>
        <v>350</v>
      </c>
      <c r="X225" s="455">
        <f t="shared" si="337"/>
        <v>350</v>
      </c>
      <c r="Z225" s="224">
        <f t="shared" si="338"/>
        <v>0.539238891061395</v>
      </c>
      <c r="AA225" s="180">
        <f t="shared" si="339"/>
        <v>2.2639800769753222</v>
      </c>
      <c r="AB225" s="180">
        <f t="shared" si="340"/>
        <v>0.1263812940814858</v>
      </c>
      <c r="AC225" s="180"/>
      <c r="AD225" s="180">
        <f t="shared" si="341"/>
        <v>1.217557251908397</v>
      </c>
      <c r="AE225" s="564">
        <f t="shared" si="342"/>
        <v>86.17755609432183</v>
      </c>
      <c r="AF225" s="547">
        <f t="shared" si="343"/>
        <v>3.6552440597785188E-2</v>
      </c>
      <c r="AH225" s="180">
        <f t="shared" si="344"/>
        <v>0.14112718773107863</v>
      </c>
      <c r="AI225" s="180">
        <f t="shared" si="345"/>
        <v>0.28999999999999998</v>
      </c>
      <c r="AJ225" s="180">
        <f t="shared" si="346"/>
        <v>1.0492443177681838</v>
      </c>
      <c r="AL225" s="564">
        <f t="shared" si="347"/>
        <v>9</v>
      </c>
      <c r="AM225" s="473">
        <f t="shared" si="348"/>
        <v>86.17755609432183</v>
      </c>
      <c r="AO225">
        <f t="shared" si="349"/>
        <v>9</v>
      </c>
      <c r="AP225">
        <f t="shared" si="350"/>
        <v>86.17755609432183</v>
      </c>
      <c r="AR225" s="5">
        <f t="shared" si="314"/>
        <v>11.603949396122283</v>
      </c>
      <c r="AS225" s="5">
        <f t="shared" si="305"/>
        <v>0.31900000000000001</v>
      </c>
      <c r="AT225" s="5">
        <f t="shared" si="306"/>
        <v>11.284949396122283</v>
      </c>
      <c r="AU225" s="180">
        <f t="shared" si="307"/>
        <v>2.7490640394088665E-2</v>
      </c>
      <c r="CB225" s="582">
        <f t="shared" si="351"/>
        <v>-50</v>
      </c>
    </row>
    <row r="226" spans="5:80" x14ac:dyDescent="0.25">
      <c r="E226" s="177">
        <v>10</v>
      </c>
      <c r="F226" s="224">
        <f t="shared" si="352"/>
        <v>1.0000000000000002E-2</v>
      </c>
      <c r="G226" s="224">
        <f t="shared" si="321"/>
        <v>1.0000000000000002E-2</v>
      </c>
      <c r="H226" s="224">
        <f t="shared" si="322"/>
        <v>6.3000000000000014E-2</v>
      </c>
      <c r="I226" s="224">
        <f t="shared" si="323"/>
        <v>0.15000000000000002</v>
      </c>
      <c r="J226" s="560">
        <f t="shared" si="324"/>
        <v>50</v>
      </c>
      <c r="K226" s="455">
        <f t="shared" si="325"/>
        <v>13.1</v>
      </c>
      <c r="L226" s="455">
        <f t="shared" si="326"/>
        <v>63.1</v>
      </c>
      <c r="M226" s="455"/>
      <c r="N226" s="224">
        <f t="shared" si="327"/>
        <v>0.20760697305863707</v>
      </c>
      <c r="O226" s="179">
        <f t="shared" si="328"/>
        <v>2.0033341889689962</v>
      </c>
      <c r="P226" s="179">
        <f t="shared" si="329"/>
        <v>4.7698433070690385</v>
      </c>
      <c r="Q226" s="224">
        <f t="shared" si="330"/>
        <v>0.31798955380460259</v>
      </c>
      <c r="R226" s="224">
        <f t="shared" si="331"/>
        <v>0.13355561259793308</v>
      </c>
      <c r="S226" s="224">
        <f t="shared" si="332"/>
        <v>6.3</v>
      </c>
      <c r="T226" s="224">
        <f t="shared" si="333"/>
        <v>4.5598982188295174E-2</v>
      </c>
      <c r="U226" s="224">
        <f t="shared" si="334"/>
        <v>5.0158880407124691E-2</v>
      </c>
      <c r="V226" s="224">
        <f t="shared" si="335"/>
        <v>0.19144610842414006</v>
      </c>
      <c r="W226" s="204">
        <f t="shared" si="336"/>
        <v>350</v>
      </c>
      <c r="X226" s="455">
        <f t="shared" si="337"/>
        <v>350</v>
      </c>
      <c r="Z226" s="224">
        <f t="shared" si="338"/>
        <v>0.539238891061395</v>
      </c>
      <c r="AA226" s="180">
        <f t="shared" si="339"/>
        <v>2.2639800769753222</v>
      </c>
      <c r="AB226" s="180">
        <f t="shared" si="340"/>
        <v>0.1263812940814858</v>
      </c>
      <c r="AC226" s="180"/>
      <c r="AD226" s="180">
        <f t="shared" si="341"/>
        <v>1.217557251908397</v>
      </c>
      <c r="AE226" s="564">
        <f t="shared" si="342"/>
        <v>95.752840104802061</v>
      </c>
      <c r="AF226" s="547">
        <f t="shared" si="343"/>
        <v>3.6552440597785188E-2</v>
      </c>
      <c r="AH226" s="180">
        <f t="shared" si="344"/>
        <v>0.14876111766812633</v>
      </c>
      <c r="AI226" s="180">
        <f t="shared" si="345"/>
        <v>0.28999999999999998</v>
      </c>
      <c r="AJ226" s="180">
        <f t="shared" si="346"/>
        <v>1.0547159086313154</v>
      </c>
      <c r="AL226" s="564">
        <f t="shared" si="347"/>
        <v>10.000000000000002</v>
      </c>
      <c r="AM226" s="473">
        <f t="shared" si="348"/>
        <v>95.752840104802061</v>
      </c>
      <c r="AO226">
        <f t="shared" si="349"/>
        <v>10.000000000000002</v>
      </c>
      <c r="AP226">
        <f t="shared" si="350"/>
        <v>95.752840104802061</v>
      </c>
      <c r="AR226" s="5">
        <f t="shared" si="314"/>
        <v>10.443554456510054</v>
      </c>
      <c r="AS226" s="5">
        <f t="shared" si="305"/>
        <v>0.31900000000000001</v>
      </c>
      <c r="AT226" s="5">
        <f t="shared" si="306"/>
        <v>10.124554456510053</v>
      </c>
      <c r="AU226" s="180">
        <f t="shared" si="307"/>
        <v>3.0545155993431855E-2</v>
      </c>
      <c r="CB226" s="582">
        <f t="shared" si="351"/>
        <v>-50</v>
      </c>
    </row>
    <row r="227" spans="5:80" x14ac:dyDescent="0.25">
      <c r="E227" s="177">
        <v>11</v>
      </c>
      <c r="F227" s="224">
        <f t="shared" si="352"/>
        <v>1.1000000000000001E-2</v>
      </c>
      <c r="G227" s="224">
        <f t="shared" si="321"/>
        <v>1.1000000000000001E-2</v>
      </c>
      <c r="H227" s="224">
        <f t="shared" si="322"/>
        <v>6.93E-2</v>
      </c>
      <c r="I227" s="224">
        <f t="shared" si="323"/>
        <v>0.16500000000000001</v>
      </c>
      <c r="J227" s="560">
        <f t="shared" si="324"/>
        <v>50</v>
      </c>
      <c r="K227" s="455">
        <f t="shared" si="325"/>
        <v>13.1</v>
      </c>
      <c r="L227" s="455">
        <f t="shared" si="326"/>
        <v>63.1</v>
      </c>
      <c r="M227" s="455"/>
      <c r="N227" s="224">
        <f t="shared" si="327"/>
        <v>0.20760697305863707</v>
      </c>
      <c r="O227" s="179">
        <f t="shared" si="328"/>
        <v>2.0033341889689962</v>
      </c>
      <c r="P227" s="179">
        <f t="shared" si="329"/>
        <v>4.7698433070690385</v>
      </c>
      <c r="Q227" s="224">
        <f t="shared" si="330"/>
        <v>0.31798955380460259</v>
      </c>
      <c r="R227" s="224">
        <f t="shared" si="331"/>
        <v>0.13355561259793308</v>
      </c>
      <c r="S227" s="224">
        <f t="shared" si="332"/>
        <v>6.3</v>
      </c>
      <c r="T227" s="224">
        <f t="shared" si="333"/>
        <v>5.0158880407124691E-2</v>
      </c>
      <c r="U227" s="224">
        <f t="shared" si="334"/>
        <v>5.5174768447837162E-2</v>
      </c>
      <c r="V227" s="224">
        <f t="shared" si="335"/>
        <v>0.21059071926655404</v>
      </c>
      <c r="W227" s="204">
        <f t="shared" si="336"/>
        <v>350</v>
      </c>
      <c r="X227" s="455">
        <f t="shared" si="337"/>
        <v>350</v>
      </c>
      <c r="Z227" s="224">
        <f t="shared" si="338"/>
        <v>0.539238891061395</v>
      </c>
      <c r="AA227" s="180">
        <f t="shared" si="339"/>
        <v>2.2639800769753222</v>
      </c>
      <c r="AB227" s="180">
        <f t="shared" si="340"/>
        <v>0.1263812940814858</v>
      </c>
      <c r="AC227" s="180"/>
      <c r="AD227" s="180">
        <f t="shared" si="341"/>
        <v>1.217557251908397</v>
      </c>
      <c r="AE227" s="564">
        <f t="shared" si="342"/>
        <v>105.32812411528224</v>
      </c>
      <c r="AF227" s="547">
        <f t="shared" si="343"/>
        <v>3.6552440597785188E-2</v>
      </c>
      <c r="AH227" s="180">
        <f t="shared" si="344"/>
        <v>0.15602197647401198</v>
      </c>
      <c r="AI227" s="180">
        <f t="shared" si="345"/>
        <v>0.28999999999999998</v>
      </c>
      <c r="AJ227" s="180">
        <f t="shared" si="346"/>
        <v>1.0601874994944469</v>
      </c>
      <c r="AL227" s="564">
        <f t="shared" si="347"/>
        <v>11.000000000000002</v>
      </c>
      <c r="AM227" s="473">
        <f t="shared" si="348"/>
        <v>105.32812411528224</v>
      </c>
      <c r="AO227">
        <f t="shared" si="349"/>
        <v>11.000000000000002</v>
      </c>
      <c r="AP227">
        <f t="shared" si="350"/>
        <v>105.32812411528224</v>
      </c>
      <c r="AR227" s="5">
        <f t="shared" si="314"/>
        <v>9.4941404150091415</v>
      </c>
      <c r="AS227" s="5">
        <f t="shared" si="305"/>
        <v>0.31900000000000001</v>
      </c>
      <c r="AT227" s="5">
        <f t="shared" si="306"/>
        <v>9.1751404150091407</v>
      </c>
      <c r="AU227" s="180">
        <f t="shared" si="307"/>
        <v>3.3599671592775035E-2</v>
      </c>
      <c r="CB227" s="582">
        <f t="shared" si="351"/>
        <v>-50</v>
      </c>
    </row>
    <row r="228" spans="5:80" x14ac:dyDescent="0.25">
      <c r="E228" s="177">
        <v>12</v>
      </c>
      <c r="F228" s="224">
        <f t="shared" si="352"/>
        <v>1.2E-2</v>
      </c>
      <c r="G228" s="224">
        <f t="shared" si="321"/>
        <v>1.2E-2</v>
      </c>
      <c r="H228" s="224">
        <f t="shared" si="322"/>
        <v>7.5600000000000001E-2</v>
      </c>
      <c r="I228" s="224">
        <f t="shared" si="323"/>
        <v>0.18</v>
      </c>
      <c r="J228" s="560">
        <f t="shared" si="324"/>
        <v>50</v>
      </c>
      <c r="K228" s="455">
        <f t="shared" si="325"/>
        <v>13.1</v>
      </c>
      <c r="L228" s="455">
        <f t="shared" si="326"/>
        <v>63.1</v>
      </c>
      <c r="M228" s="455"/>
      <c r="N228" s="224">
        <f t="shared" si="327"/>
        <v>0.20760697305863707</v>
      </c>
      <c r="O228" s="179">
        <f t="shared" si="328"/>
        <v>2.0033341889689962</v>
      </c>
      <c r="P228" s="179">
        <f t="shared" si="329"/>
        <v>4.7698433070690385</v>
      </c>
      <c r="Q228" s="224">
        <f t="shared" si="330"/>
        <v>0.31798955380460259</v>
      </c>
      <c r="R228" s="224">
        <f t="shared" si="331"/>
        <v>0.13355561259793308</v>
      </c>
      <c r="S228" s="224">
        <f t="shared" si="332"/>
        <v>6.3</v>
      </c>
      <c r="T228" s="224">
        <f t="shared" si="333"/>
        <v>5.4718778625954201E-2</v>
      </c>
      <c r="U228" s="224">
        <f t="shared" si="334"/>
        <v>6.019065648854962E-2</v>
      </c>
      <c r="V228" s="224">
        <f t="shared" si="335"/>
        <v>0.22973533010896802</v>
      </c>
      <c r="W228" s="204">
        <f t="shared" si="336"/>
        <v>350</v>
      </c>
      <c r="X228" s="455">
        <f t="shared" si="337"/>
        <v>350</v>
      </c>
      <c r="Z228" s="224">
        <f t="shared" si="338"/>
        <v>0.539238891061395</v>
      </c>
      <c r="AA228" s="180">
        <f t="shared" si="339"/>
        <v>2.2639800769753222</v>
      </c>
      <c r="AB228" s="180">
        <f t="shared" si="340"/>
        <v>0.1263812940814858</v>
      </c>
      <c r="AC228" s="180"/>
      <c r="AD228" s="180">
        <f t="shared" si="341"/>
        <v>1.217557251908397</v>
      </c>
      <c r="AE228" s="564">
        <f t="shared" si="342"/>
        <v>114.90340812576243</v>
      </c>
      <c r="AF228" s="547">
        <f t="shared" si="343"/>
        <v>3.6552440597785188E-2</v>
      </c>
      <c r="AH228" s="180">
        <f t="shared" si="344"/>
        <v>0.16295963965302623</v>
      </c>
      <c r="AI228" s="180">
        <f t="shared" si="345"/>
        <v>0.28999999999999998</v>
      </c>
      <c r="AJ228" s="180">
        <f t="shared" si="346"/>
        <v>1.0656590903575784</v>
      </c>
      <c r="AL228" s="564">
        <f t="shared" si="347"/>
        <v>12</v>
      </c>
      <c r="AM228" s="473">
        <f t="shared" si="348"/>
        <v>114.90340812576243</v>
      </c>
      <c r="AO228">
        <f t="shared" si="349"/>
        <v>12</v>
      </c>
      <c r="AP228">
        <f t="shared" si="350"/>
        <v>114.90340812576243</v>
      </c>
      <c r="AR228" s="5">
        <f t="shared" si="314"/>
        <v>8.7029620470917148</v>
      </c>
      <c r="AS228" s="5">
        <f t="shared" si="305"/>
        <v>0.31900000000000001</v>
      </c>
      <c r="AT228" s="5">
        <f t="shared" si="306"/>
        <v>8.383962047091714</v>
      </c>
      <c r="AU228" s="180">
        <f t="shared" si="307"/>
        <v>3.6654187192118208E-2</v>
      </c>
      <c r="CB228" s="582">
        <f t="shared" si="351"/>
        <v>-50</v>
      </c>
    </row>
    <row r="229" spans="5:80" x14ac:dyDescent="0.25">
      <c r="E229" s="177">
        <v>13</v>
      </c>
      <c r="F229" s="224">
        <f t="shared" si="352"/>
        <v>1.3000000000000001E-2</v>
      </c>
      <c r="G229" s="224">
        <f t="shared" si="321"/>
        <v>1.3000000000000001E-2</v>
      </c>
      <c r="H229" s="224">
        <f t="shared" si="322"/>
        <v>8.1900000000000001E-2</v>
      </c>
      <c r="I229" s="224">
        <f t="shared" si="323"/>
        <v>0.19500000000000001</v>
      </c>
      <c r="J229" s="560">
        <f t="shared" si="324"/>
        <v>50</v>
      </c>
      <c r="K229" s="455">
        <f t="shared" si="325"/>
        <v>13.1</v>
      </c>
      <c r="L229" s="455">
        <f t="shared" si="326"/>
        <v>63.1</v>
      </c>
      <c r="M229" s="455"/>
      <c r="N229" s="224">
        <f t="shared" si="327"/>
        <v>0.20760697305863707</v>
      </c>
      <c r="O229" s="179">
        <f t="shared" si="328"/>
        <v>2.0033341889689962</v>
      </c>
      <c r="P229" s="179">
        <f t="shared" si="329"/>
        <v>4.7698433070690385</v>
      </c>
      <c r="Q229" s="224">
        <f t="shared" si="330"/>
        <v>0.31798955380460259</v>
      </c>
      <c r="R229" s="224">
        <f t="shared" si="331"/>
        <v>0.13355561259793308</v>
      </c>
      <c r="S229" s="224">
        <f t="shared" si="332"/>
        <v>6.3</v>
      </c>
      <c r="T229" s="224">
        <f t="shared" si="333"/>
        <v>5.9278676844783725E-2</v>
      </c>
      <c r="U229" s="224">
        <f t="shared" si="334"/>
        <v>6.5206544529262098E-2</v>
      </c>
      <c r="V229" s="224">
        <f t="shared" si="335"/>
        <v>0.24887994095138205</v>
      </c>
      <c r="W229" s="204">
        <f t="shared" si="336"/>
        <v>350</v>
      </c>
      <c r="X229" s="455">
        <f t="shared" si="337"/>
        <v>350</v>
      </c>
      <c r="Z229" s="224">
        <f t="shared" si="338"/>
        <v>0.539238891061395</v>
      </c>
      <c r="AA229" s="180">
        <f t="shared" si="339"/>
        <v>2.2639800769753222</v>
      </c>
      <c r="AB229" s="180">
        <f t="shared" si="340"/>
        <v>0.1263812940814858</v>
      </c>
      <c r="AC229" s="180"/>
      <c r="AD229" s="180">
        <f t="shared" si="341"/>
        <v>1.217557251908397</v>
      </c>
      <c r="AE229" s="564">
        <f t="shared" si="342"/>
        <v>124.47869213624266</v>
      </c>
      <c r="AF229" s="547">
        <f t="shared" si="343"/>
        <v>3.6552440597785188E-2</v>
      </c>
      <c r="AH229" s="180">
        <f t="shared" si="344"/>
        <v>0.16961377057547886</v>
      </c>
      <c r="AI229" s="180">
        <f t="shared" si="345"/>
        <v>0.28999999999999998</v>
      </c>
      <c r="AJ229" s="180">
        <f t="shared" si="346"/>
        <v>1.0711306812207102</v>
      </c>
      <c r="AL229" s="564">
        <f t="shared" si="347"/>
        <v>13.000000000000002</v>
      </c>
      <c r="AM229" s="473">
        <f t="shared" si="348"/>
        <v>124.47869213624266</v>
      </c>
      <c r="AO229">
        <f t="shared" si="349"/>
        <v>13.000000000000002</v>
      </c>
      <c r="AP229">
        <f t="shared" si="350"/>
        <v>124.47869213624266</v>
      </c>
      <c r="AR229" s="5">
        <f t="shared" si="314"/>
        <v>8.0335034280846571</v>
      </c>
      <c r="AS229" s="5">
        <f t="shared" si="305"/>
        <v>0.31900000000000001</v>
      </c>
      <c r="AT229" s="5">
        <f t="shared" si="306"/>
        <v>7.7145034280846572</v>
      </c>
      <c r="AU229" s="180">
        <f t="shared" si="307"/>
        <v>3.9708702791461409E-2</v>
      </c>
      <c r="CB229" s="582">
        <f t="shared" si="351"/>
        <v>-50</v>
      </c>
    </row>
    <row r="230" spans="5:80" x14ac:dyDescent="0.25">
      <c r="E230" s="177">
        <v>14</v>
      </c>
      <c r="F230" s="224">
        <f t="shared" si="352"/>
        <v>1.4000000000000002E-2</v>
      </c>
      <c r="G230" s="224">
        <f t="shared" si="321"/>
        <v>1.4000000000000002E-2</v>
      </c>
      <c r="H230" s="224">
        <f t="shared" si="322"/>
        <v>8.8200000000000014E-2</v>
      </c>
      <c r="I230" s="224">
        <f t="shared" si="323"/>
        <v>0.21000000000000002</v>
      </c>
      <c r="J230" s="560">
        <f t="shared" si="324"/>
        <v>50</v>
      </c>
      <c r="K230" s="455">
        <f t="shared" si="325"/>
        <v>13.1</v>
      </c>
      <c r="L230" s="455">
        <f t="shared" si="326"/>
        <v>63.1</v>
      </c>
      <c r="M230" s="455"/>
      <c r="N230" s="224">
        <f t="shared" si="327"/>
        <v>0.20760697305863707</v>
      </c>
      <c r="O230" s="179">
        <f t="shared" si="328"/>
        <v>2.0033341889689962</v>
      </c>
      <c r="P230" s="179">
        <f t="shared" si="329"/>
        <v>4.7698433070690385</v>
      </c>
      <c r="Q230" s="224">
        <f t="shared" si="330"/>
        <v>0.31798955380460259</v>
      </c>
      <c r="R230" s="224">
        <f t="shared" si="331"/>
        <v>0.13355561259793308</v>
      </c>
      <c r="S230" s="224">
        <f t="shared" si="332"/>
        <v>6.3</v>
      </c>
      <c r="T230" s="224">
        <f t="shared" si="333"/>
        <v>6.3838575063613248E-2</v>
      </c>
      <c r="U230" s="224">
        <f t="shared" si="334"/>
        <v>7.0222432569974569E-2</v>
      </c>
      <c r="V230" s="224">
        <f t="shared" si="335"/>
        <v>0.26802455179379608</v>
      </c>
      <c r="W230" s="204">
        <f t="shared" si="336"/>
        <v>350</v>
      </c>
      <c r="X230" s="455">
        <f t="shared" si="337"/>
        <v>350</v>
      </c>
      <c r="Z230" s="224">
        <f t="shared" si="338"/>
        <v>0.539238891061395</v>
      </c>
      <c r="AA230" s="180">
        <f t="shared" si="339"/>
        <v>2.2639800769753222</v>
      </c>
      <c r="AB230" s="180">
        <f t="shared" si="340"/>
        <v>0.1263812940814858</v>
      </c>
      <c r="AC230" s="180"/>
      <c r="AD230" s="180">
        <f t="shared" si="341"/>
        <v>1.217557251908397</v>
      </c>
      <c r="AE230" s="564">
        <f t="shared" si="342"/>
        <v>134.05397614672287</v>
      </c>
      <c r="AF230" s="547">
        <f t="shared" si="343"/>
        <v>3.6552440597785188E-2</v>
      </c>
      <c r="AH230" s="180">
        <f t="shared" si="344"/>
        <v>0.17601652814954108</v>
      </c>
      <c r="AI230" s="180">
        <f t="shared" si="345"/>
        <v>0.28999999999999998</v>
      </c>
      <c r="AJ230" s="180">
        <f t="shared" si="346"/>
        <v>1.0766022720838417</v>
      </c>
      <c r="AL230" s="564">
        <f t="shared" si="347"/>
        <v>14.000000000000002</v>
      </c>
      <c r="AM230" s="473">
        <f t="shared" si="348"/>
        <v>134.05397614672287</v>
      </c>
      <c r="AO230">
        <f t="shared" si="349"/>
        <v>14.000000000000002</v>
      </c>
      <c r="AP230">
        <f t="shared" si="350"/>
        <v>134.05397614672287</v>
      </c>
      <c r="AR230" s="5">
        <f t="shared" si="314"/>
        <v>7.4596817546500382</v>
      </c>
      <c r="AS230" s="5">
        <f t="shared" si="305"/>
        <v>0.31900000000000001</v>
      </c>
      <c r="AT230" s="5">
        <f t="shared" si="306"/>
        <v>7.1406817546500383</v>
      </c>
      <c r="AU230" s="180">
        <f t="shared" si="307"/>
        <v>4.2763218390804596E-2</v>
      </c>
      <c r="CB230" s="582">
        <f t="shared" si="351"/>
        <v>-50</v>
      </c>
    </row>
    <row r="231" spans="5:80" x14ac:dyDescent="0.25">
      <c r="E231" s="177">
        <v>15</v>
      </c>
      <c r="F231" s="224">
        <f t="shared" si="352"/>
        <v>1.4999999999999999E-2</v>
      </c>
      <c r="G231" s="224">
        <f t="shared" si="321"/>
        <v>1.4999999999999999E-2</v>
      </c>
      <c r="H231" s="224">
        <f t="shared" si="322"/>
        <v>9.4500000000000001E-2</v>
      </c>
      <c r="I231" s="224">
        <f t="shared" si="323"/>
        <v>0.22499999999999998</v>
      </c>
      <c r="J231" s="560">
        <f t="shared" si="324"/>
        <v>50</v>
      </c>
      <c r="K231" s="455">
        <f t="shared" si="325"/>
        <v>13.1</v>
      </c>
      <c r="L231" s="455">
        <f t="shared" si="326"/>
        <v>63.1</v>
      </c>
      <c r="M231" s="455"/>
      <c r="N231" s="224">
        <f t="shared" si="327"/>
        <v>0.20760697305863707</v>
      </c>
      <c r="O231" s="179">
        <f t="shared" si="328"/>
        <v>2.0033341889689962</v>
      </c>
      <c r="P231" s="179">
        <f t="shared" si="329"/>
        <v>4.7698433070690385</v>
      </c>
      <c r="Q231" s="224">
        <f t="shared" si="330"/>
        <v>0.31798955380460259</v>
      </c>
      <c r="R231" s="224">
        <f t="shared" si="331"/>
        <v>0.13355561259793308</v>
      </c>
      <c r="S231" s="224">
        <f t="shared" si="332"/>
        <v>6.3</v>
      </c>
      <c r="T231" s="224">
        <f t="shared" si="333"/>
        <v>6.8398473282442751E-2</v>
      </c>
      <c r="U231" s="224">
        <f t="shared" si="334"/>
        <v>7.5238320610687026E-2</v>
      </c>
      <c r="V231" s="224">
        <f t="shared" si="335"/>
        <v>0.28716916263621001</v>
      </c>
      <c r="W231" s="204">
        <f t="shared" si="336"/>
        <v>350</v>
      </c>
      <c r="X231" s="455">
        <f t="shared" si="337"/>
        <v>350</v>
      </c>
      <c r="Z231" s="224">
        <f t="shared" si="338"/>
        <v>0.539238891061395</v>
      </c>
      <c r="AA231" s="180">
        <f t="shared" si="339"/>
        <v>2.2639800769753222</v>
      </c>
      <c r="AB231" s="180">
        <f t="shared" si="340"/>
        <v>0.1263812940814858</v>
      </c>
      <c r="AC231" s="180"/>
      <c r="AD231" s="180">
        <f t="shared" si="341"/>
        <v>1.217557251908397</v>
      </c>
      <c r="AE231" s="564">
        <f t="shared" si="342"/>
        <v>143.62926015720305</v>
      </c>
      <c r="AF231" s="547">
        <f t="shared" si="343"/>
        <v>3.6552440597785188E-2</v>
      </c>
      <c r="AH231" s="180">
        <f t="shared" si="344"/>
        <v>0.18219441592651844</v>
      </c>
      <c r="AI231" s="180">
        <f t="shared" si="345"/>
        <v>0.28999999999999998</v>
      </c>
      <c r="AJ231" s="180">
        <f t="shared" si="346"/>
        <v>1.0820738629469733</v>
      </c>
      <c r="AL231" s="564">
        <f t="shared" si="347"/>
        <v>15</v>
      </c>
      <c r="AM231" s="473">
        <f t="shared" si="348"/>
        <v>143.62926015720305</v>
      </c>
      <c r="AO231">
        <f t="shared" si="349"/>
        <v>15</v>
      </c>
      <c r="AP231">
        <f t="shared" si="350"/>
        <v>143.62926015720305</v>
      </c>
      <c r="AR231" s="5">
        <f t="shared" si="314"/>
        <v>6.9623696376733699</v>
      </c>
      <c r="AS231" s="5">
        <f t="shared" si="305"/>
        <v>0.31900000000000001</v>
      </c>
      <c r="AT231" s="5">
        <f t="shared" si="306"/>
        <v>6.64336963767337</v>
      </c>
      <c r="AU231" s="180">
        <f t="shared" si="307"/>
        <v>4.5817733990147776E-2</v>
      </c>
      <c r="CB231" s="582">
        <f t="shared" si="351"/>
        <v>-50</v>
      </c>
    </row>
    <row r="232" spans="5:80" x14ac:dyDescent="0.25">
      <c r="E232" s="177">
        <v>16</v>
      </c>
      <c r="F232" s="224">
        <f t="shared" si="352"/>
        <v>1.6E-2</v>
      </c>
      <c r="G232" s="224">
        <f t="shared" si="321"/>
        <v>1.6E-2</v>
      </c>
      <c r="H232" s="224">
        <f t="shared" si="322"/>
        <v>0.1008</v>
      </c>
      <c r="I232" s="224">
        <f t="shared" si="323"/>
        <v>0.24</v>
      </c>
      <c r="J232" s="560">
        <f t="shared" si="324"/>
        <v>50</v>
      </c>
      <c r="K232" s="455">
        <f t="shared" si="325"/>
        <v>13.1</v>
      </c>
      <c r="L232" s="455">
        <f t="shared" si="326"/>
        <v>63.1</v>
      </c>
      <c r="M232" s="455"/>
      <c r="N232" s="224">
        <f t="shared" si="327"/>
        <v>0.20760697305863707</v>
      </c>
      <c r="O232" s="179">
        <f t="shared" si="328"/>
        <v>2.0033341889689962</v>
      </c>
      <c r="P232" s="179">
        <f t="shared" si="329"/>
        <v>4.7698433070690385</v>
      </c>
      <c r="Q232" s="224">
        <f t="shared" si="330"/>
        <v>0.31798955380460259</v>
      </c>
      <c r="R232" s="224">
        <f t="shared" si="331"/>
        <v>0.13355561259793308</v>
      </c>
      <c r="S232" s="224">
        <f t="shared" si="332"/>
        <v>6.3</v>
      </c>
      <c r="T232" s="224">
        <f t="shared" si="333"/>
        <v>7.2958371501272268E-2</v>
      </c>
      <c r="U232" s="224">
        <f t="shared" si="334"/>
        <v>8.0254208651399483E-2</v>
      </c>
      <c r="V232" s="224">
        <f t="shared" si="335"/>
        <v>0.30631377347862404</v>
      </c>
      <c r="W232" s="204">
        <f t="shared" si="336"/>
        <v>350</v>
      </c>
      <c r="X232" s="455">
        <f t="shared" si="337"/>
        <v>350</v>
      </c>
      <c r="Z232" s="224">
        <f t="shared" si="338"/>
        <v>0.539238891061395</v>
      </c>
      <c r="AA232" s="180">
        <f t="shared" si="339"/>
        <v>2.2639800769753222</v>
      </c>
      <c r="AB232" s="180">
        <f t="shared" si="340"/>
        <v>0.1263812940814858</v>
      </c>
      <c r="AC232" s="180"/>
      <c r="AD232" s="180">
        <f t="shared" si="341"/>
        <v>1.217557251908397</v>
      </c>
      <c r="AE232" s="564">
        <f t="shared" si="342"/>
        <v>153.20454416768325</v>
      </c>
      <c r="AF232" s="547">
        <f t="shared" si="343"/>
        <v>3.6552440597785188E-2</v>
      </c>
      <c r="AH232" s="180">
        <f t="shared" si="344"/>
        <v>0.18816958364143821</v>
      </c>
      <c r="AI232" s="180">
        <f t="shared" si="345"/>
        <v>0.28999999999999998</v>
      </c>
      <c r="AJ232" s="180">
        <f t="shared" si="346"/>
        <v>1.0875454538101048</v>
      </c>
      <c r="AL232" s="564">
        <f t="shared" si="347"/>
        <v>16</v>
      </c>
      <c r="AM232" s="473">
        <f t="shared" si="348"/>
        <v>153.20454416768325</v>
      </c>
      <c r="AO232">
        <f t="shared" si="349"/>
        <v>16</v>
      </c>
      <c r="AP232">
        <f t="shared" si="350"/>
        <v>153.20454416768325</v>
      </c>
      <c r="AR232" s="5">
        <f t="shared" si="314"/>
        <v>6.5272215353187848</v>
      </c>
      <c r="AS232" s="5">
        <f t="shared" si="305"/>
        <v>0.31900000000000001</v>
      </c>
      <c r="AT232" s="5">
        <f t="shared" si="306"/>
        <v>6.2082215353187848</v>
      </c>
      <c r="AU232" s="180">
        <f t="shared" si="307"/>
        <v>4.8872249589490956E-2</v>
      </c>
      <c r="CB232" s="582">
        <f t="shared" si="351"/>
        <v>-50</v>
      </c>
    </row>
    <row r="233" spans="5:80" x14ac:dyDescent="0.25">
      <c r="E233" s="177">
        <v>17</v>
      </c>
      <c r="F233" s="224">
        <f t="shared" si="352"/>
        <v>1.7000000000000001E-2</v>
      </c>
      <c r="G233" s="224">
        <f t="shared" si="321"/>
        <v>1.7000000000000001E-2</v>
      </c>
      <c r="H233" s="224">
        <f t="shared" si="322"/>
        <v>0.1071</v>
      </c>
      <c r="I233" s="224">
        <f t="shared" si="323"/>
        <v>0.255</v>
      </c>
      <c r="J233" s="560">
        <f t="shared" si="324"/>
        <v>50</v>
      </c>
      <c r="K233" s="455">
        <f t="shared" si="325"/>
        <v>13.1</v>
      </c>
      <c r="L233" s="455">
        <f t="shared" si="326"/>
        <v>63.1</v>
      </c>
      <c r="M233" s="455"/>
      <c r="N233" s="224">
        <f t="shared" si="327"/>
        <v>0.20760697305863707</v>
      </c>
      <c r="O233" s="179">
        <f t="shared" si="328"/>
        <v>2.0033341889689962</v>
      </c>
      <c r="P233" s="179">
        <f t="shared" si="329"/>
        <v>4.7698433070690385</v>
      </c>
      <c r="Q233" s="224">
        <f t="shared" si="330"/>
        <v>0.31798955380460259</v>
      </c>
      <c r="R233" s="224">
        <f t="shared" si="331"/>
        <v>0.13355561259793308</v>
      </c>
      <c r="S233" s="224">
        <f t="shared" si="332"/>
        <v>6.3</v>
      </c>
      <c r="T233" s="224">
        <f t="shared" si="333"/>
        <v>7.7518269720101785E-2</v>
      </c>
      <c r="U233" s="224">
        <f t="shared" si="334"/>
        <v>8.5270096692111969E-2</v>
      </c>
      <c r="V233" s="224">
        <f t="shared" si="335"/>
        <v>0.32545838432103807</v>
      </c>
      <c r="W233" s="204">
        <f t="shared" si="336"/>
        <v>350</v>
      </c>
      <c r="X233" s="455">
        <f t="shared" si="337"/>
        <v>350</v>
      </c>
      <c r="Z233" s="224">
        <f t="shared" si="338"/>
        <v>0.539238891061395</v>
      </c>
      <c r="AA233" s="180">
        <f t="shared" si="339"/>
        <v>2.2639800769753222</v>
      </c>
      <c r="AB233" s="180">
        <f t="shared" si="340"/>
        <v>0.1263812940814858</v>
      </c>
      <c r="AC233" s="180"/>
      <c r="AD233" s="180">
        <f t="shared" si="341"/>
        <v>1.217557251908397</v>
      </c>
      <c r="AE233" s="564">
        <f t="shared" si="342"/>
        <v>162.77982817816346</v>
      </c>
      <c r="AF233" s="547">
        <f t="shared" si="343"/>
        <v>3.6552440597785188E-2</v>
      </c>
      <c r="AH233" s="180">
        <f t="shared" si="344"/>
        <v>0.19396076722053671</v>
      </c>
      <c r="AI233" s="180">
        <f t="shared" si="345"/>
        <v>0.28999999999999998</v>
      </c>
      <c r="AJ233" s="180">
        <f t="shared" si="346"/>
        <v>1.0930170446732363</v>
      </c>
      <c r="AL233" s="564">
        <f t="shared" si="347"/>
        <v>17</v>
      </c>
      <c r="AM233" s="473">
        <f t="shared" si="348"/>
        <v>162.77982817816346</v>
      </c>
      <c r="AO233">
        <f t="shared" si="349"/>
        <v>17</v>
      </c>
      <c r="AP233">
        <f t="shared" si="350"/>
        <v>162.77982817816346</v>
      </c>
      <c r="AR233" s="5">
        <f t="shared" si="314"/>
        <v>6.1432673273588563</v>
      </c>
      <c r="AS233" s="5">
        <f t="shared" si="305"/>
        <v>0.31900000000000001</v>
      </c>
      <c r="AT233" s="5">
        <f t="shared" si="306"/>
        <v>5.8242673273588563</v>
      </c>
      <c r="AU233" s="180">
        <f t="shared" si="307"/>
        <v>5.1926765188834142E-2</v>
      </c>
      <c r="CB233" s="582">
        <f t="shared" si="351"/>
        <v>-50</v>
      </c>
    </row>
    <row r="234" spans="5:80" x14ac:dyDescent="0.25">
      <c r="E234" s="177">
        <v>18</v>
      </c>
      <c r="F234" s="224">
        <f t="shared" si="352"/>
        <v>1.7999999999999999E-2</v>
      </c>
      <c r="G234" s="224">
        <f t="shared" si="321"/>
        <v>1.7999999999999999E-2</v>
      </c>
      <c r="H234" s="224">
        <f t="shared" si="322"/>
        <v>0.11339999999999999</v>
      </c>
      <c r="I234" s="224">
        <f t="shared" si="323"/>
        <v>0.26999999999999996</v>
      </c>
      <c r="J234" s="560">
        <f t="shared" si="324"/>
        <v>50</v>
      </c>
      <c r="K234" s="455">
        <f t="shared" si="325"/>
        <v>13.1</v>
      </c>
      <c r="L234" s="455">
        <f t="shared" si="326"/>
        <v>63.1</v>
      </c>
      <c r="M234" s="455"/>
      <c r="N234" s="224">
        <f t="shared" si="327"/>
        <v>0.20760697305863707</v>
      </c>
      <c r="O234" s="179">
        <f t="shared" si="328"/>
        <v>2.0033341889689962</v>
      </c>
      <c r="P234" s="179">
        <f t="shared" si="329"/>
        <v>4.7698433070690385</v>
      </c>
      <c r="Q234" s="224">
        <f t="shared" si="330"/>
        <v>0.31798955380460259</v>
      </c>
      <c r="R234" s="224">
        <f t="shared" si="331"/>
        <v>0.13355561259793308</v>
      </c>
      <c r="S234" s="224">
        <f t="shared" si="332"/>
        <v>6.3</v>
      </c>
      <c r="T234" s="224">
        <f t="shared" si="333"/>
        <v>8.2078167938931301E-2</v>
      </c>
      <c r="U234" s="224">
        <f t="shared" si="334"/>
        <v>9.028598473282444E-2</v>
      </c>
      <c r="V234" s="224">
        <f t="shared" si="335"/>
        <v>0.34460299516345205</v>
      </c>
      <c r="W234" s="204">
        <f t="shared" si="336"/>
        <v>350</v>
      </c>
      <c r="X234" s="455">
        <f t="shared" si="337"/>
        <v>350</v>
      </c>
      <c r="Z234" s="224">
        <f t="shared" si="338"/>
        <v>0.539238891061395</v>
      </c>
      <c r="AA234" s="180">
        <f t="shared" si="339"/>
        <v>2.2639800769753222</v>
      </c>
      <c r="AB234" s="180">
        <f t="shared" si="340"/>
        <v>0.1263812940814858</v>
      </c>
      <c r="AC234" s="180"/>
      <c r="AD234" s="180">
        <f t="shared" si="341"/>
        <v>1.217557251908397</v>
      </c>
      <c r="AE234" s="564">
        <f t="shared" si="342"/>
        <v>172.35511218864366</v>
      </c>
      <c r="AF234" s="547">
        <f t="shared" si="343"/>
        <v>3.6552440597785188E-2</v>
      </c>
      <c r="AH234" s="180">
        <f t="shared" si="344"/>
        <v>0.19958398290886528</v>
      </c>
      <c r="AI234" s="180">
        <f t="shared" si="345"/>
        <v>0.28999999999999998</v>
      </c>
      <c r="AJ234" s="180">
        <f t="shared" si="346"/>
        <v>1.0984886355363679</v>
      </c>
      <c r="AL234" s="564">
        <f t="shared" si="347"/>
        <v>18</v>
      </c>
      <c r="AM234" s="473">
        <f t="shared" si="348"/>
        <v>172.35511218864366</v>
      </c>
      <c r="AO234">
        <f t="shared" si="349"/>
        <v>18</v>
      </c>
      <c r="AP234">
        <f t="shared" si="350"/>
        <v>172.35511218864366</v>
      </c>
      <c r="AR234" s="5">
        <f t="shared" si="314"/>
        <v>5.8019746980611417</v>
      </c>
      <c r="AS234" s="5">
        <f t="shared" si="305"/>
        <v>0.31900000000000001</v>
      </c>
      <c r="AT234" s="5">
        <f t="shared" si="306"/>
        <v>5.4829746980611418</v>
      </c>
      <c r="AU234" s="180">
        <f t="shared" si="307"/>
        <v>5.4981280788177329E-2</v>
      </c>
      <c r="CB234" s="582">
        <f t="shared" si="351"/>
        <v>-50</v>
      </c>
    </row>
    <row r="235" spans="5:80" x14ac:dyDescent="0.25">
      <c r="E235" s="177">
        <v>19</v>
      </c>
      <c r="F235" s="224">
        <f t="shared" si="352"/>
        <v>1.9000000000000003E-2</v>
      </c>
      <c r="G235" s="224">
        <f t="shared" si="321"/>
        <v>1.9000000000000003E-2</v>
      </c>
      <c r="H235" s="224">
        <f t="shared" si="322"/>
        <v>0.11970000000000001</v>
      </c>
      <c r="I235" s="224">
        <f t="shared" si="323"/>
        <v>0.28500000000000003</v>
      </c>
      <c r="J235" s="560">
        <f t="shared" si="324"/>
        <v>50</v>
      </c>
      <c r="K235" s="455">
        <f t="shared" si="325"/>
        <v>13.1</v>
      </c>
      <c r="L235" s="455">
        <f t="shared" si="326"/>
        <v>63.1</v>
      </c>
      <c r="M235" s="455"/>
      <c r="N235" s="224">
        <f t="shared" si="327"/>
        <v>0.20760697305863707</v>
      </c>
      <c r="O235" s="179">
        <f t="shared" si="328"/>
        <v>2.0033341889689962</v>
      </c>
      <c r="P235" s="179">
        <f t="shared" si="329"/>
        <v>4.7698433070690385</v>
      </c>
      <c r="Q235" s="224">
        <f t="shared" si="330"/>
        <v>0.31798955380460259</v>
      </c>
      <c r="R235" s="224">
        <f t="shared" si="331"/>
        <v>0.13355561259793308</v>
      </c>
      <c r="S235" s="224">
        <f t="shared" si="332"/>
        <v>6.3</v>
      </c>
      <c r="T235" s="224">
        <f t="shared" si="333"/>
        <v>8.6638066157760832E-2</v>
      </c>
      <c r="U235" s="224">
        <f t="shared" si="334"/>
        <v>9.5301872773536925E-2</v>
      </c>
      <c r="V235" s="224">
        <f t="shared" si="335"/>
        <v>0.36374760600586609</v>
      </c>
      <c r="W235" s="204">
        <f t="shared" si="336"/>
        <v>350</v>
      </c>
      <c r="X235" s="455">
        <f t="shared" si="337"/>
        <v>350</v>
      </c>
      <c r="Z235" s="224">
        <f t="shared" si="338"/>
        <v>0.539238891061395</v>
      </c>
      <c r="AA235" s="180">
        <f t="shared" si="339"/>
        <v>2.2639800769753222</v>
      </c>
      <c r="AB235" s="180">
        <f t="shared" si="340"/>
        <v>0.1263812940814858</v>
      </c>
      <c r="AC235" s="180"/>
      <c r="AD235" s="180">
        <f t="shared" si="341"/>
        <v>1.217557251908397</v>
      </c>
      <c r="AE235" s="564">
        <f t="shared" si="342"/>
        <v>181.93039619912389</v>
      </c>
      <c r="AF235" s="547">
        <f t="shared" si="343"/>
        <v>3.6552440597785188E-2</v>
      </c>
      <c r="AH235" s="180">
        <f t="shared" si="344"/>
        <v>0.20505304983528838</v>
      </c>
      <c r="AI235" s="180">
        <f t="shared" si="345"/>
        <v>0.28999999999999998</v>
      </c>
      <c r="AJ235" s="180">
        <f t="shared" si="346"/>
        <v>1.1039602263994994</v>
      </c>
      <c r="AL235" s="564">
        <f t="shared" si="347"/>
        <v>19.000000000000004</v>
      </c>
      <c r="AM235" s="473">
        <f t="shared" si="348"/>
        <v>181.93039619912389</v>
      </c>
      <c r="AO235">
        <f t="shared" si="349"/>
        <v>19.000000000000004</v>
      </c>
      <c r="AP235">
        <f t="shared" si="350"/>
        <v>181.93039619912389</v>
      </c>
      <c r="AR235" s="5">
        <f t="shared" si="314"/>
        <v>5.4966076086895024</v>
      </c>
      <c r="AS235" s="5">
        <f t="shared" si="305"/>
        <v>0.31900000000000001</v>
      </c>
      <c r="AT235" s="5">
        <f t="shared" si="306"/>
        <v>5.1776076086895024</v>
      </c>
      <c r="AU235" s="180">
        <f t="shared" si="307"/>
        <v>5.8035796387520516E-2</v>
      </c>
      <c r="CB235" s="582">
        <f t="shared" si="351"/>
        <v>-50</v>
      </c>
    </row>
    <row r="236" spans="5:80" x14ac:dyDescent="0.25">
      <c r="E236" s="177">
        <v>20</v>
      </c>
      <c r="F236" s="224">
        <f t="shared" si="352"/>
        <v>2.0000000000000004E-2</v>
      </c>
      <c r="G236" s="224">
        <f t="shared" si="321"/>
        <v>2.0000000000000004E-2</v>
      </c>
      <c r="H236" s="224">
        <f t="shared" si="322"/>
        <v>0.12600000000000003</v>
      </c>
      <c r="I236" s="224">
        <f t="shared" si="323"/>
        <v>0.30000000000000004</v>
      </c>
      <c r="J236" s="560">
        <f t="shared" si="324"/>
        <v>50</v>
      </c>
      <c r="K236" s="455">
        <f t="shared" si="325"/>
        <v>13.1</v>
      </c>
      <c r="L236" s="455">
        <f t="shared" si="326"/>
        <v>63.1</v>
      </c>
      <c r="M236" s="455"/>
      <c r="N236" s="224">
        <f t="shared" si="327"/>
        <v>0.20760697305863707</v>
      </c>
      <c r="O236" s="179">
        <f t="shared" si="328"/>
        <v>2.0033341889689962</v>
      </c>
      <c r="P236" s="179">
        <f t="shared" si="329"/>
        <v>4.7698433070690385</v>
      </c>
      <c r="Q236" s="224">
        <f t="shared" si="330"/>
        <v>0.31798955380460259</v>
      </c>
      <c r="R236" s="224">
        <f t="shared" si="331"/>
        <v>0.13355561259793308</v>
      </c>
      <c r="S236" s="224">
        <f t="shared" si="332"/>
        <v>6.3</v>
      </c>
      <c r="T236" s="224">
        <f t="shared" si="333"/>
        <v>9.1197964376590349E-2</v>
      </c>
      <c r="U236" s="224">
        <f t="shared" si="334"/>
        <v>0.10031776081424938</v>
      </c>
      <c r="V236" s="224">
        <f t="shared" si="335"/>
        <v>0.38289221684828012</v>
      </c>
      <c r="W236" s="204">
        <f t="shared" si="336"/>
        <v>350</v>
      </c>
      <c r="X236" s="455">
        <f t="shared" si="337"/>
        <v>350</v>
      </c>
      <c r="Z236" s="224">
        <f t="shared" si="338"/>
        <v>0.539238891061395</v>
      </c>
      <c r="AA236" s="180">
        <f t="shared" si="339"/>
        <v>2.2639800769753222</v>
      </c>
      <c r="AB236" s="180">
        <f t="shared" si="340"/>
        <v>0.1263812940814858</v>
      </c>
      <c r="AC236" s="180"/>
      <c r="AD236" s="180">
        <f t="shared" si="341"/>
        <v>1.217557251908397</v>
      </c>
      <c r="AE236" s="564">
        <f t="shared" si="342"/>
        <v>191.50568020960412</v>
      </c>
      <c r="AF236" s="547">
        <f t="shared" si="343"/>
        <v>3.6552440597785188E-2</v>
      </c>
      <c r="AH236" s="180">
        <f t="shared" si="344"/>
        <v>0.21037999016004413</v>
      </c>
      <c r="AI236" s="180">
        <f t="shared" si="345"/>
        <v>0.28999999999999998</v>
      </c>
      <c r="AJ236" s="180">
        <f t="shared" si="346"/>
        <v>1.109431817262631</v>
      </c>
      <c r="AL236" s="564">
        <f t="shared" si="347"/>
        <v>20.000000000000004</v>
      </c>
      <c r="AM236" s="473">
        <f t="shared" si="348"/>
        <v>191.50568020960412</v>
      </c>
      <c r="AO236">
        <f t="shared" si="349"/>
        <v>20.000000000000004</v>
      </c>
      <c r="AP236">
        <f t="shared" si="350"/>
        <v>191.50568020960412</v>
      </c>
      <c r="AR236" s="5">
        <f t="shared" si="314"/>
        <v>5.2217772282550268</v>
      </c>
      <c r="AS236" s="5">
        <f t="shared" si="305"/>
        <v>0.31900000000000001</v>
      </c>
      <c r="AT236" s="5">
        <f t="shared" si="306"/>
        <v>4.9027772282550268</v>
      </c>
      <c r="AU236" s="180">
        <f t="shared" si="307"/>
        <v>6.109031198686371E-2</v>
      </c>
      <c r="CB236" s="582">
        <f t="shared" si="351"/>
        <v>-50</v>
      </c>
    </row>
    <row r="237" spans="5:80" x14ac:dyDescent="0.25">
      <c r="E237" s="177">
        <v>21</v>
      </c>
      <c r="F237" s="224">
        <f t="shared" si="352"/>
        <v>2.1000000000000001E-2</v>
      </c>
      <c r="G237" s="224">
        <f t="shared" si="321"/>
        <v>2.1000000000000001E-2</v>
      </c>
      <c r="H237" s="224">
        <f t="shared" si="322"/>
        <v>0.1323</v>
      </c>
      <c r="I237" s="224">
        <f t="shared" si="323"/>
        <v>0.315</v>
      </c>
      <c r="J237" s="560">
        <f t="shared" si="324"/>
        <v>50</v>
      </c>
      <c r="K237" s="455">
        <f t="shared" si="325"/>
        <v>13.1</v>
      </c>
      <c r="L237" s="455">
        <f t="shared" si="326"/>
        <v>63.1</v>
      </c>
      <c r="M237" s="455"/>
      <c r="N237" s="224">
        <f t="shared" si="327"/>
        <v>0.20760697305863707</v>
      </c>
      <c r="O237" s="179">
        <f t="shared" si="328"/>
        <v>2.0033341889689962</v>
      </c>
      <c r="P237" s="179">
        <f t="shared" si="329"/>
        <v>4.7698433070690385</v>
      </c>
      <c r="Q237" s="224">
        <f t="shared" si="330"/>
        <v>0.31798955380460259</v>
      </c>
      <c r="R237" s="224">
        <f t="shared" si="331"/>
        <v>0.13355561259793308</v>
      </c>
      <c r="S237" s="224">
        <f t="shared" si="332"/>
        <v>6.3</v>
      </c>
      <c r="T237" s="224">
        <f t="shared" si="333"/>
        <v>9.5757862595419865E-2</v>
      </c>
      <c r="U237" s="224">
        <f t="shared" si="334"/>
        <v>0.10533364885496187</v>
      </c>
      <c r="V237" s="224">
        <f t="shared" si="335"/>
        <v>0.40203682769069415</v>
      </c>
      <c r="W237" s="204">
        <f t="shared" si="336"/>
        <v>350</v>
      </c>
      <c r="X237" s="455">
        <f t="shared" si="337"/>
        <v>350</v>
      </c>
      <c r="Z237" s="224">
        <f t="shared" si="338"/>
        <v>0.539238891061395</v>
      </c>
      <c r="AA237" s="180">
        <f t="shared" si="339"/>
        <v>2.2639800769753222</v>
      </c>
      <c r="AB237" s="180">
        <f t="shared" si="340"/>
        <v>0.1263812940814858</v>
      </c>
      <c r="AC237" s="180"/>
      <c r="AD237" s="180">
        <f t="shared" si="341"/>
        <v>1.217557251908397</v>
      </c>
      <c r="AE237" s="564">
        <f t="shared" si="342"/>
        <v>201.08096422008427</v>
      </c>
      <c r="AF237" s="547">
        <f t="shared" si="343"/>
        <v>3.6552440597785188E-2</v>
      </c>
      <c r="AH237" s="180">
        <f t="shared" si="344"/>
        <v>0.21557534013130369</v>
      </c>
      <c r="AI237" s="180">
        <f t="shared" si="345"/>
        <v>0.28999999999999998</v>
      </c>
      <c r="AJ237" s="180">
        <f t="shared" si="346"/>
        <v>1.1149034081257625</v>
      </c>
      <c r="AL237" s="564">
        <f t="shared" si="347"/>
        <v>21</v>
      </c>
      <c r="AM237" s="473">
        <f t="shared" si="348"/>
        <v>201.08096422008427</v>
      </c>
      <c r="AO237">
        <f t="shared" si="349"/>
        <v>21</v>
      </c>
      <c r="AP237">
        <f t="shared" si="350"/>
        <v>201.08096422008427</v>
      </c>
      <c r="AR237" s="5">
        <f t="shared" si="314"/>
        <v>4.9731211697666922</v>
      </c>
      <c r="AS237" s="5">
        <f t="shared" si="305"/>
        <v>0.31900000000000001</v>
      </c>
      <c r="AT237" s="5">
        <f t="shared" si="306"/>
        <v>4.6541211697666922</v>
      </c>
      <c r="AU237" s="180">
        <f t="shared" si="307"/>
        <v>6.414482758620689E-2</v>
      </c>
      <c r="CB237" s="582">
        <f t="shared" si="351"/>
        <v>-50</v>
      </c>
    </row>
    <row r="238" spans="5:80" x14ac:dyDescent="0.25">
      <c r="E238" s="177">
        <v>22</v>
      </c>
      <c r="F238" s="224">
        <f t="shared" si="352"/>
        <v>2.2000000000000002E-2</v>
      </c>
      <c r="G238" s="224">
        <f t="shared" si="321"/>
        <v>2.2000000000000002E-2</v>
      </c>
      <c r="H238" s="224">
        <f t="shared" si="322"/>
        <v>0.1386</v>
      </c>
      <c r="I238" s="224">
        <f t="shared" si="323"/>
        <v>0.33</v>
      </c>
      <c r="J238" s="560">
        <f t="shared" si="324"/>
        <v>50</v>
      </c>
      <c r="K238" s="455">
        <f t="shared" si="325"/>
        <v>13.1</v>
      </c>
      <c r="L238" s="455">
        <f t="shared" si="326"/>
        <v>63.1</v>
      </c>
      <c r="M238" s="455"/>
      <c r="N238" s="224">
        <f t="shared" si="327"/>
        <v>0.20760697305863707</v>
      </c>
      <c r="O238" s="179">
        <f t="shared" si="328"/>
        <v>2.0033341889689962</v>
      </c>
      <c r="P238" s="179">
        <f t="shared" si="329"/>
        <v>4.7698433070690385</v>
      </c>
      <c r="Q238" s="224">
        <f t="shared" si="330"/>
        <v>0.31798955380460259</v>
      </c>
      <c r="R238" s="224">
        <f t="shared" si="331"/>
        <v>0.13355561259793308</v>
      </c>
      <c r="S238" s="224">
        <f t="shared" si="332"/>
        <v>6.3</v>
      </c>
      <c r="T238" s="224">
        <f t="shared" si="333"/>
        <v>0.10031776081424938</v>
      </c>
      <c r="U238" s="224">
        <f t="shared" si="334"/>
        <v>0.11034953689567432</v>
      </c>
      <c r="V238" s="224">
        <f t="shared" si="335"/>
        <v>0.42118143853310808</v>
      </c>
      <c r="W238" s="204">
        <f t="shared" si="336"/>
        <v>350</v>
      </c>
      <c r="X238" s="455">
        <f t="shared" si="337"/>
        <v>350</v>
      </c>
      <c r="Z238" s="224">
        <f t="shared" si="338"/>
        <v>0.539238891061395</v>
      </c>
      <c r="AA238" s="180">
        <f t="shared" si="339"/>
        <v>2.2639800769753222</v>
      </c>
      <c r="AB238" s="180">
        <f t="shared" si="340"/>
        <v>0.1263812940814858</v>
      </c>
      <c r="AC238" s="180"/>
      <c r="AD238" s="180">
        <f t="shared" si="341"/>
        <v>1.217557251908397</v>
      </c>
      <c r="AE238" s="564">
        <f t="shared" si="342"/>
        <v>210.65624823056447</v>
      </c>
      <c r="AF238" s="547">
        <f t="shared" si="343"/>
        <v>3.6552440597785188E-2</v>
      </c>
      <c r="AH238" s="180">
        <f t="shared" si="344"/>
        <v>0.22064839515780371</v>
      </c>
      <c r="AI238" s="180">
        <f t="shared" si="345"/>
        <v>0.28999999999999998</v>
      </c>
      <c r="AJ238" s="180">
        <f t="shared" si="346"/>
        <v>1.120374998988894</v>
      </c>
      <c r="AL238" s="564">
        <f t="shared" si="347"/>
        <v>22.000000000000004</v>
      </c>
      <c r="AM238" s="473">
        <f t="shared" si="348"/>
        <v>210.65624823056447</v>
      </c>
      <c r="AO238">
        <f t="shared" si="349"/>
        <v>22.000000000000004</v>
      </c>
      <c r="AP238">
        <f t="shared" si="350"/>
        <v>210.65624823056447</v>
      </c>
      <c r="AR238" s="5">
        <f t="shared" si="314"/>
        <v>4.7470702075045708</v>
      </c>
      <c r="AS238" s="5">
        <f t="shared" si="305"/>
        <v>0.31900000000000001</v>
      </c>
      <c r="AT238" s="5">
        <f t="shared" si="306"/>
        <v>4.4280702075045708</v>
      </c>
      <c r="AU238" s="180">
        <f t="shared" si="307"/>
        <v>6.719934318555007E-2</v>
      </c>
      <c r="CB238" s="582">
        <f t="shared" si="351"/>
        <v>-50</v>
      </c>
    </row>
    <row r="239" spans="5:80" x14ac:dyDescent="0.25">
      <c r="E239" s="177">
        <v>23</v>
      </c>
      <c r="F239" s="224">
        <f t="shared" si="352"/>
        <v>2.3000000000000003E-2</v>
      </c>
      <c r="G239" s="224">
        <f t="shared" si="321"/>
        <v>2.3000000000000003E-2</v>
      </c>
      <c r="H239" s="224">
        <f t="shared" si="322"/>
        <v>0.14490000000000003</v>
      </c>
      <c r="I239" s="224">
        <f t="shared" si="323"/>
        <v>0.34500000000000003</v>
      </c>
      <c r="J239" s="560">
        <f t="shared" si="324"/>
        <v>50</v>
      </c>
      <c r="K239" s="455">
        <f t="shared" si="325"/>
        <v>13.1</v>
      </c>
      <c r="L239" s="455">
        <f t="shared" si="326"/>
        <v>63.1</v>
      </c>
      <c r="M239" s="455"/>
      <c r="N239" s="224">
        <f t="shared" si="327"/>
        <v>0.20760697305863707</v>
      </c>
      <c r="O239" s="179">
        <f t="shared" si="328"/>
        <v>2.0033341889689962</v>
      </c>
      <c r="P239" s="179">
        <f t="shared" si="329"/>
        <v>4.7698433070690385</v>
      </c>
      <c r="Q239" s="224">
        <f t="shared" si="330"/>
        <v>0.31798955380460259</v>
      </c>
      <c r="R239" s="224">
        <f t="shared" si="331"/>
        <v>0.13355561259793308</v>
      </c>
      <c r="S239" s="224">
        <f t="shared" si="332"/>
        <v>6.3</v>
      </c>
      <c r="T239" s="224">
        <f t="shared" si="333"/>
        <v>0.1048776590330789</v>
      </c>
      <c r="U239" s="224">
        <f t="shared" si="334"/>
        <v>0.11536542493638678</v>
      </c>
      <c r="V239" s="224">
        <f t="shared" si="335"/>
        <v>0.44032604937552217</v>
      </c>
      <c r="W239" s="204">
        <f t="shared" si="336"/>
        <v>350</v>
      </c>
      <c r="X239" s="455">
        <f t="shared" si="337"/>
        <v>350</v>
      </c>
      <c r="Z239" s="224">
        <f t="shared" si="338"/>
        <v>0.539238891061395</v>
      </c>
      <c r="AA239" s="180">
        <f t="shared" si="339"/>
        <v>2.2639800769753222</v>
      </c>
      <c r="AB239" s="180">
        <f t="shared" si="340"/>
        <v>0.1263812940814858</v>
      </c>
      <c r="AC239" s="180"/>
      <c r="AD239" s="180">
        <f t="shared" si="341"/>
        <v>1.217557251908397</v>
      </c>
      <c r="AE239" s="564">
        <f t="shared" si="342"/>
        <v>220.23153224104468</v>
      </c>
      <c r="AF239" s="547">
        <f t="shared" si="343"/>
        <v>3.6552440597785188E-2</v>
      </c>
      <c r="AH239" s="180">
        <f t="shared" si="344"/>
        <v>0.2256074052390597</v>
      </c>
      <c r="AI239" s="180">
        <f t="shared" si="345"/>
        <v>0.28999999999999998</v>
      </c>
      <c r="AJ239" s="180">
        <f t="shared" si="346"/>
        <v>1.1258465898520256</v>
      </c>
      <c r="AL239" s="564">
        <f t="shared" si="347"/>
        <v>23.000000000000004</v>
      </c>
      <c r="AM239" s="473">
        <f t="shared" si="348"/>
        <v>220.23153224104468</v>
      </c>
      <c r="AO239">
        <f t="shared" si="349"/>
        <v>23.000000000000004</v>
      </c>
      <c r="AP239">
        <f t="shared" si="350"/>
        <v>220.23153224104468</v>
      </c>
      <c r="AR239" s="5">
        <f t="shared" si="314"/>
        <v>4.5406758506565454</v>
      </c>
      <c r="AS239" s="5">
        <f t="shared" si="305"/>
        <v>0.31900000000000001</v>
      </c>
      <c r="AT239" s="5">
        <f t="shared" si="306"/>
        <v>4.2216758506565455</v>
      </c>
      <c r="AU239" s="180">
        <f t="shared" si="307"/>
        <v>7.025385878489325E-2</v>
      </c>
      <c r="CB239" s="582">
        <f t="shared" si="351"/>
        <v>-50</v>
      </c>
    </row>
    <row r="240" spans="5:80" x14ac:dyDescent="0.25">
      <c r="E240" s="177">
        <v>24</v>
      </c>
      <c r="F240" s="224">
        <f t="shared" si="352"/>
        <v>2.4E-2</v>
      </c>
      <c r="G240" s="224">
        <f t="shared" si="321"/>
        <v>2.4E-2</v>
      </c>
      <c r="H240" s="224">
        <f t="shared" si="322"/>
        <v>0.1512</v>
      </c>
      <c r="I240" s="224">
        <f t="shared" si="323"/>
        <v>0.36</v>
      </c>
      <c r="J240" s="560">
        <f t="shared" si="324"/>
        <v>50</v>
      </c>
      <c r="K240" s="455">
        <f t="shared" si="325"/>
        <v>13.1</v>
      </c>
      <c r="L240" s="455">
        <f t="shared" si="326"/>
        <v>63.1</v>
      </c>
      <c r="M240" s="455"/>
      <c r="N240" s="224">
        <f t="shared" si="327"/>
        <v>0.20760697305863707</v>
      </c>
      <c r="O240" s="179">
        <f t="shared" si="328"/>
        <v>2.0033341889689962</v>
      </c>
      <c r="P240" s="179">
        <f t="shared" si="329"/>
        <v>4.7698433070690385</v>
      </c>
      <c r="Q240" s="224">
        <f t="shared" si="330"/>
        <v>0.31798955380460259</v>
      </c>
      <c r="R240" s="224">
        <f t="shared" si="331"/>
        <v>0.13355561259793308</v>
      </c>
      <c r="S240" s="224">
        <f t="shared" si="332"/>
        <v>6.3</v>
      </c>
      <c r="T240" s="224">
        <f t="shared" si="333"/>
        <v>0.1094375572519084</v>
      </c>
      <c r="U240" s="224">
        <f t="shared" si="334"/>
        <v>0.12038131297709924</v>
      </c>
      <c r="V240" s="224">
        <f t="shared" si="335"/>
        <v>0.45947066021793603</v>
      </c>
      <c r="W240" s="204">
        <f t="shared" si="336"/>
        <v>350</v>
      </c>
      <c r="X240" s="455">
        <f t="shared" si="337"/>
        <v>350</v>
      </c>
      <c r="Z240" s="224">
        <f t="shared" si="338"/>
        <v>0.539238891061395</v>
      </c>
      <c r="AA240" s="180">
        <f t="shared" si="339"/>
        <v>2.2639800769753222</v>
      </c>
      <c r="AB240" s="180">
        <f t="shared" si="340"/>
        <v>0.1263812940814858</v>
      </c>
      <c r="AC240" s="180"/>
      <c r="AD240" s="180">
        <f t="shared" si="341"/>
        <v>1.217557251908397</v>
      </c>
      <c r="AE240" s="564">
        <f t="shared" si="342"/>
        <v>229.80681625152485</v>
      </c>
      <c r="AF240" s="547">
        <f t="shared" si="343"/>
        <v>3.6552440597785188E-2</v>
      </c>
      <c r="AH240" s="180">
        <f t="shared" si="344"/>
        <v>0.23045973251674209</v>
      </c>
      <c r="AI240" s="180">
        <f t="shared" si="345"/>
        <v>0.28999999999999998</v>
      </c>
      <c r="AJ240" s="180">
        <f t="shared" si="346"/>
        <v>1.1313181807151571</v>
      </c>
      <c r="AL240" s="564">
        <f t="shared" si="347"/>
        <v>24</v>
      </c>
      <c r="AM240" s="473">
        <f t="shared" si="348"/>
        <v>229.80681625152485</v>
      </c>
      <c r="AO240">
        <f t="shared" si="349"/>
        <v>24</v>
      </c>
      <c r="AP240">
        <f t="shared" si="350"/>
        <v>229.80681625152485</v>
      </c>
      <c r="AR240" s="5">
        <f t="shared" si="314"/>
        <v>4.3514810235458574</v>
      </c>
      <c r="AS240" s="5">
        <f t="shared" si="305"/>
        <v>0.31900000000000001</v>
      </c>
      <c r="AT240" s="5">
        <f t="shared" si="306"/>
        <v>4.0324810235458575</v>
      </c>
      <c r="AU240" s="180">
        <f t="shared" si="307"/>
        <v>7.3308374384236416E-2</v>
      </c>
      <c r="CB240" s="582">
        <f t="shared" si="351"/>
        <v>-50</v>
      </c>
    </row>
    <row r="241" spans="5:80" x14ac:dyDescent="0.25">
      <c r="E241" s="177">
        <v>25</v>
      </c>
      <c r="F241" s="224">
        <f t="shared" si="352"/>
        <v>2.5000000000000001E-2</v>
      </c>
      <c r="G241" s="224">
        <f t="shared" si="321"/>
        <v>2.5000000000000001E-2</v>
      </c>
      <c r="H241" s="224">
        <f t="shared" si="322"/>
        <v>0.1575</v>
      </c>
      <c r="I241" s="224">
        <f t="shared" si="323"/>
        <v>0.375</v>
      </c>
      <c r="J241" s="560">
        <f t="shared" si="324"/>
        <v>50</v>
      </c>
      <c r="K241" s="455">
        <f t="shared" si="325"/>
        <v>13.1</v>
      </c>
      <c r="L241" s="455">
        <f t="shared" si="326"/>
        <v>63.1</v>
      </c>
      <c r="M241" s="455"/>
      <c r="N241" s="224">
        <f t="shared" si="327"/>
        <v>0.20760697305863707</v>
      </c>
      <c r="O241" s="179">
        <f t="shared" si="328"/>
        <v>2.0033341889689962</v>
      </c>
      <c r="P241" s="179">
        <f t="shared" si="329"/>
        <v>4.7698433070690385</v>
      </c>
      <c r="Q241" s="224">
        <f t="shared" si="330"/>
        <v>0.31798955380460259</v>
      </c>
      <c r="R241" s="224">
        <f t="shared" si="331"/>
        <v>0.13355561259793308</v>
      </c>
      <c r="S241" s="224">
        <f t="shared" si="332"/>
        <v>6.3</v>
      </c>
      <c r="T241" s="224">
        <f t="shared" si="333"/>
        <v>0.11399745547073792</v>
      </c>
      <c r="U241" s="224">
        <f t="shared" si="334"/>
        <v>0.12539720101781174</v>
      </c>
      <c r="V241" s="224">
        <f t="shared" si="335"/>
        <v>0.47861527106035012</v>
      </c>
      <c r="W241" s="204">
        <f t="shared" si="336"/>
        <v>350</v>
      </c>
      <c r="X241" s="455">
        <f t="shared" si="337"/>
        <v>350</v>
      </c>
      <c r="Z241" s="224">
        <f t="shared" si="338"/>
        <v>0.539238891061395</v>
      </c>
      <c r="AA241" s="180">
        <f t="shared" si="339"/>
        <v>2.2639800769753222</v>
      </c>
      <c r="AB241" s="180">
        <f t="shared" si="340"/>
        <v>0.1263812940814858</v>
      </c>
      <c r="AC241" s="180"/>
      <c r="AD241" s="180">
        <f t="shared" si="341"/>
        <v>1.217557251908397</v>
      </c>
      <c r="AE241" s="564">
        <f t="shared" si="342"/>
        <v>239.38210026200508</v>
      </c>
      <c r="AF241" s="547">
        <f t="shared" si="343"/>
        <v>3.6552440597785188E-2</v>
      </c>
      <c r="AH241" s="180">
        <f t="shared" si="344"/>
        <v>0.23521197955179776</v>
      </c>
      <c r="AI241" s="180">
        <f t="shared" si="345"/>
        <v>0.28999999999999998</v>
      </c>
      <c r="AJ241" s="180">
        <f t="shared" si="346"/>
        <v>1.1367897715782886</v>
      </c>
      <c r="AL241" s="564">
        <f t="shared" si="347"/>
        <v>25</v>
      </c>
      <c r="AM241" s="473">
        <f t="shared" si="348"/>
        <v>239.38210026200508</v>
      </c>
      <c r="AO241">
        <f t="shared" si="349"/>
        <v>25</v>
      </c>
      <c r="AP241">
        <f t="shared" si="350"/>
        <v>239.38210026200508</v>
      </c>
      <c r="AR241" s="5">
        <f t="shared" si="314"/>
        <v>4.1774217826040223</v>
      </c>
      <c r="AS241" s="5">
        <f t="shared" si="305"/>
        <v>0.31900000000000001</v>
      </c>
      <c r="AT241" s="5">
        <f t="shared" si="306"/>
        <v>3.8584217826040224</v>
      </c>
      <c r="AU241" s="180">
        <f t="shared" si="307"/>
        <v>7.6362889983579624E-2</v>
      </c>
      <c r="CB241" s="582">
        <f t="shared" si="351"/>
        <v>-50</v>
      </c>
    </row>
    <row r="242" spans="5:80" x14ac:dyDescent="0.25">
      <c r="E242" s="177">
        <v>26</v>
      </c>
      <c r="F242" s="224">
        <f t="shared" si="352"/>
        <v>2.6000000000000002E-2</v>
      </c>
      <c r="G242" s="224">
        <f t="shared" si="321"/>
        <v>2.6000000000000002E-2</v>
      </c>
      <c r="H242" s="224">
        <f t="shared" si="322"/>
        <v>0.1638</v>
      </c>
      <c r="I242" s="224">
        <f t="shared" si="323"/>
        <v>0.39</v>
      </c>
      <c r="J242" s="560">
        <f t="shared" si="324"/>
        <v>50</v>
      </c>
      <c r="K242" s="455">
        <f t="shared" si="325"/>
        <v>13.1</v>
      </c>
      <c r="L242" s="455">
        <f t="shared" si="326"/>
        <v>63.1</v>
      </c>
      <c r="M242" s="455"/>
      <c r="N242" s="224">
        <f t="shared" si="327"/>
        <v>0.20760697305863707</v>
      </c>
      <c r="O242" s="179">
        <f t="shared" si="328"/>
        <v>2.0033341889689962</v>
      </c>
      <c r="P242" s="179">
        <f t="shared" si="329"/>
        <v>4.7698433070690385</v>
      </c>
      <c r="Q242" s="224">
        <f t="shared" si="330"/>
        <v>0.31798955380460259</v>
      </c>
      <c r="R242" s="224">
        <f t="shared" si="331"/>
        <v>0.13355561259793308</v>
      </c>
      <c r="S242" s="224">
        <f t="shared" si="332"/>
        <v>6.3</v>
      </c>
      <c r="T242" s="224">
        <f t="shared" si="333"/>
        <v>0.11855735368956745</v>
      </c>
      <c r="U242" s="224">
        <f t="shared" si="334"/>
        <v>0.1304130890585242</v>
      </c>
      <c r="V242" s="224">
        <f t="shared" si="335"/>
        <v>0.4977598819027641</v>
      </c>
      <c r="W242" s="204">
        <f t="shared" si="336"/>
        <v>350</v>
      </c>
      <c r="X242" s="455">
        <f t="shared" si="337"/>
        <v>350</v>
      </c>
      <c r="Z242" s="224">
        <f t="shared" si="338"/>
        <v>0.539238891061395</v>
      </c>
      <c r="AA242" s="180">
        <f t="shared" si="339"/>
        <v>2.2639800769753222</v>
      </c>
      <c r="AB242" s="180">
        <f t="shared" si="340"/>
        <v>0.1263812940814858</v>
      </c>
      <c r="AC242" s="180"/>
      <c r="AD242" s="180">
        <f t="shared" si="341"/>
        <v>1.217557251908397</v>
      </c>
      <c r="AE242" s="564">
        <f t="shared" si="342"/>
        <v>248.95738427248531</v>
      </c>
      <c r="AF242" s="547">
        <f t="shared" si="343"/>
        <v>3.6552440597785188E-2</v>
      </c>
      <c r="AH242" s="180">
        <f t="shared" si="344"/>
        <v>0.23987009471308079</v>
      </c>
      <c r="AI242" s="180">
        <f t="shared" si="345"/>
        <v>0.28999999999999998</v>
      </c>
      <c r="AJ242" s="180">
        <f t="shared" si="346"/>
        <v>1.1422613624414202</v>
      </c>
      <c r="AL242" s="564">
        <f t="shared" si="347"/>
        <v>26.000000000000004</v>
      </c>
      <c r="AM242" s="473">
        <f t="shared" si="348"/>
        <v>248.95738427248531</v>
      </c>
      <c r="AO242">
        <f t="shared" si="349"/>
        <v>26.000000000000004</v>
      </c>
      <c r="AP242">
        <f t="shared" si="350"/>
        <v>248.95738427248531</v>
      </c>
      <c r="AR242" s="5">
        <f t="shared" si="314"/>
        <v>4.0167517140423286</v>
      </c>
      <c r="AS242" s="5">
        <f t="shared" si="305"/>
        <v>0.31900000000000001</v>
      </c>
      <c r="AT242" s="5">
        <f t="shared" si="306"/>
        <v>3.6977517140423286</v>
      </c>
      <c r="AU242" s="180">
        <f t="shared" si="307"/>
        <v>7.9417405582922818E-2</v>
      </c>
      <c r="CB242" s="582">
        <f t="shared" si="351"/>
        <v>-50</v>
      </c>
    </row>
    <row r="243" spans="5:80" x14ac:dyDescent="0.25">
      <c r="E243" s="177">
        <v>27</v>
      </c>
      <c r="F243" s="224">
        <f t="shared" si="352"/>
        <v>2.7000000000000003E-2</v>
      </c>
      <c r="G243" s="224">
        <f t="shared" si="321"/>
        <v>2.7000000000000003E-2</v>
      </c>
      <c r="H243" s="224">
        <f t="shared" si="322"/>
        <v>0.17010000000000003</v>
      </c>
      <c r="I243" s="224">
        <f t="shared" si="323"/>
        <v>0.40500000000000003</v>
      </c>
      <c r="J243" s="560">
        <f t="shared" si="324"/>
        <v>50</v>
      </c>
      <c r="K243" s="455">
        <f t="shared" si="325"/>
        <v>13.1</v>
      </c>
      <c r="L243" s="455">
        <f t="shared" si="326"/>
        <v>63.1</v>
      </c>
      <c r="M243" s="455"/>
      <c r="N243" s="224">
        <f t="shared" si="327"/>
        <v>0.20760697305863707</v>
      </c>
      <c r="O243" s="179">
        <f t="shared" si="328"/>
        <v>2.0033341889689962</v>
      </c>
      <c r="P243" s="179">
        <f t="shared" si="329"/>
        <v>4.7698433070690385</v>
      </c>
      <c r="Q243" s="224">
        <f t="shared" si="330"/>
        <v>0.31798955380460259</v>
      </c>
      <c r="R243" s="224">
        <f t="shared" si="331"/>
        <v>0.13355561259793308</v>
      </c>
      <c r="S243" s="224">
        <f t="shared" si="332"/>
        <v>6.3</v>
      </c>
      <c r="T243" s="224">
        <f t="shared" si="333"/>
        <v>0.12311725190839697</v>
      </c>
      <c r="U243" s="224">
        <f t="shared" si="334"/>
        <v>0.13542897709923668</v>
      </c>
      <c r="V243" s="224">
        <f t="shared" si="335"/>
        <v>0.51690449274517813</v>
      </c>
      <c r="W243" s="204">
        <f t="shared" si="336"/>
        <v>350</v>
      </c>
      <c r="X243" s="455">
        <f t="shared" si="337"/>
        <v>350</v>
      </c>
      <c r="Z243" s="224">
        <f t="shared" si="338"/>
        <v>0.539238891061395</v>
      </c>
      <c r="AA243" s="180">
        <f t="shared" si="339"/>
        <v>2.2639800769753222</v>
      </c>
      <c r="AB243" s="180">
        <f t="shared" si="340"/>
        <v>0.1263812940814858</v>
      </c>
      <c r="AC243" s="180"/>
      <c r="AD243" s="180">
        <f t="shared" si="341"/>
        <v>1.217557251908397</v>
      </c>
      <c r="AE243" s="564">
        <f t="shared" si="342"/>
        <v>258.53266828296552</v>
      </c>
      <c r="AF243" s="547">
        <f t="shared" si="343"/>
        <v>3.6552440597785188E-2</v>
      </c>
      <c r="AH243" s="180">
        <f t="shared" si="344"/>
        <v>0.24443945947953935</v>
      </c>
      <c r="AI243" s="180">
        <f t="shared" si="345"/>
        <v>0.28999999999999998</v>
      </c>
      <c r="AJ243" s="180">
        <f t="shared" si="346"/>
        <v>1.1477329533045517</v>
      </c>
      <c r="AL243" s="564">
        <f t="shared" si="347"/>
        <v>27.000000000000004</v>
      </c>
      <c r="AM243" s="473">
        <f t="shared" si="348"/>
        <v>258.53266828296552</v>
      </c>
      <c r="AO243">
        <f t="shared" si="349"/>
        <v>27.000000000000004</v>
      </c>
      <c r="AP243">
        <f t="shared" si="350"/>
        <v>258.53266828296552</v>
      </c>
      <c r="AR243" s="5">
        <f t="shared" si="314"/>
        <v>3.8679831320407607</v>
      </c>
      <c r="AS243" s="5">
        <f t="shared" ref="AS243:AS306" si="353">L*AI243/J243*1000000</f>
        <v>0.31900000000000001</v>
      </c>
      <c r="AT243" s="5">
        <f t="shared" ref="AT243:AT306" si="354">AR243-AS243</f>
        <v>3.5489831320407608</v>
      </c>
      <c r="AU243" s="180">
        <f t="shared" ref="AU243:AU306" si="355">AS243/AR243</f>
        <v>8.2471921182265998E-2</v>
      </c>
      <c r="CB243" s="582">
        <f t="shared" si="351"/>
        <v>-50</v>
      </c>
    </row>
    <row r="244" spans="5:80" x14ac:dyDescent="0.25">
      <c r="E244" s="177">
        <v>28</v>
      </c>
      <c r="F244" s="224">
        <f t="shared" si="352"/>
        <v>2.8000000000000004E-2</v>
      </c>
      <c r="G244" s="224">
        <f t="shared" si="321"/>
        <v>2.8000000000000004E-2</v>
      </c>
      <c r="H244" s="224">
        <f t="shared" si="322"/>
        <v>0.17640000000000003</v>
      </c>
      <c r="I244" s="224">
        <f t="shared" si="323"/>
        <v>0.42000000000000004</v>
      </c>
      <c r="J244" s="560">
        <f t="shared" si="324"/>
        <v>50</v>
      </c>
      <c r="K244" s="455">
        <f t="shared" si="325"/>
        <v>13.1</v>
      </c>
      <c r="L244" s="455">
        <f t="shared" si="326"/>
        <v>63.1</v>
      </c>
      <c r="M244" s="455"/>
      <c r="N244" s="224">
        <f t="shared" si="327"/>
        <v>0.20760697305863707</v>
      </c>
      <c r="O244" s="179">
        <f t="shared" si="328"/>
        <v>2.0033341889689962</v>
      </c>
      <c r="P244" s="179">
        <f t="shared" si="329"/>
        <v>4.7698433070690385</v>
      </c>
      <c r="Q244" s="224">
        <f t="shared" si="330"/>
        <v>0.31798955380460259</v>
      </c>
      <c r="R244" s="224">
        <f t="shared" si="331"/>
        <v>0.13355561259793308</v>
      </c>
      <c r="S244" s="224">
        <f t="shared" si="332"/>
        <v>6.3</v>
      </c>
      <c r="T244" s="224">
        <f t="shared" si="333"/>
        <v>0.1276771501272265</v>
      </c>
      <c r="U244" s="224">
        <f t="shared" si="334"/>
        <v>0.14044486513994914</v>
      </c>
      <c r="V244" s="224">
        <f t="shared" si="335"/>
        <v>0.53604910358759217</v>
      </c>
      <c r="W244" s="204">
        <f t="shared" si="336"/>
        <v>350</v>
      </c>
      <c r="X244" s="455">
        <f t="shared" si="337"/>
        <v>350</v>
      </c>
      <c r="Z244" s="224">
        <f t="shared" si="338"/>
        <v>0.539238891061395</v>
      </c>
      <c r="AA244" s="180">
        <f t="shared" si="339"/>
        <v>2.2639800769753222</v>
      </c>
      <c r="AB244" s="180">
        <f t="shared" si="340"/>
        <v>0.1263812940814858</v>
      </c>
      <c r="AC244" s="180"/>
      <c r="AD244" s="180">
        <f t="shared" si="341"/>
        <v>1.217557251908397</v>
      </c>
      <c r="AE244" s="564">
        <f t="shared" si="342"/>
        <v>268.10795229344575</v>
      </c>
      <c r="AF244" s="547">
        <f t="shared" si="343"/>
        <v>3.6552440597785188E-2</v>
      </c>
      <c r="AH244" s="180">
        <f t="shared" si="344"/>
        <v>0.24892496131090663</v>
      </c>
      <c r="AI244" s="180">
        <f t="shared" si="345"/>
        <v>0.28999999999999998</v>
      </c>
      <c r="AJ244" s="180">
        <f t="shared" si="346"/>
        <v>1.1532045441676833</v>
      </c>
      <c r="AL244" s="564">
        <f t="shared" si="347"/>
        <v>28.000000000000004</v>
      </c>
      <c r="AM244" s="473">
        <f t="shared" si="348"/>
        <v>268.10795229344575</v>
      </c>
      <c r="AO244">
        <f t="shared" si="349"/>
        <v>28.000000000000004</v>
      </c>
      <c r="AP244">
        <f t="shared" si="350"/>
        <v>268.10795229344575</v>
      </c>
      <c r="AR244" s="5">
        <f t="shared" si="314"/>
        <v>3.7298408773250191</v>
      </c>
      <c r="AS244" s="5">
        <f t="shared" si="353"/>
        <v>0.31900000000000001</v>
      </c>
      <c r="AT244" s="5">
        <f t="shared" si="354"/>
        <v>3.4108408773250192</v>
      </c>
      <c r="AU244" s="180">
        <f t="shared" si="355"/>
        <v>8.5526436781609191E-2</v>
      </c>
      <c r="CB244" s="582">
        <f t="shared" si="351"/>
        <v>-50</v>
      </c>
    </row>
    <row r="245" spans="5:80" x14ac:dyDescent="0.25">
      <c r="E245" s="177">
        <v>29</v>
      </c>
      <c r="F245" s="224">
        <f t="shared" si="352"/>
        <v>2.8999999999999998E-2</v>
      </c>
      <c r="G245" s="224">
        <f t="shared" si="321"/>
        <v>2.8999999999999998E-2</v>
      </c>
      <c r="H245" s="224">
        <f t="shared" si="322"/>
        <v>0.18269999999999997</v>
      </c>
      <c r="I245" s="224">
        <f t="shared" si="323"/>
        <v>0.43499999999999994</v>
      </c>
      <c r="J245" s="560">
        <f t="shared" si="324"/>
        <v>50</v>
      </c>
      <c r="K245" s="455">
        <f t="shared" si="325"/>
        <v>13.1</v>
      </c>
      <c r="L245" s="455">
        <f t="shared" si="326"/>
        <v>63.1</v>
      </c>
      <c r="M245" s="455"/>
      <c r="N245" s="224">
        <f t="shared" si="327"/>
        <v>0.20760697305863707</v>
      </c>
      <c r="O245" s="179">
        <f t="shared" si="328"/>
        <v>2.0033341889689962</v>
      </c>
      <c r="P245" s="179">
        <f t="shared" si="329"/>
        <v>4.7698433070690385</v>
      </c>
      <c r="Q245" s="224">
        <f t="shared" si="330"/>
        <v>0.31798955380460259</v>
      </c>
      <c r="R245" s="224">
        <f t="shared" si="331"/>
        <v>0.13355561259793308</v>
      </c>
      <c r="S245" s="224">
        <f t="shared" si="332"/>
        <v>6.3</v>
      </c>
      <c r="T245" s="224">
        <f t="shared" si="333"/>
        <v>0.13223704834605599</v>
      </c>
      <c r="U245" s="224">
        <f t="shared" si="334"/>
        <v>0.14546075318066157</v>
      </c>
      <c r="V245" s="224">
        <f t="shared" si="335"/>
        <v>0.55519371443000609</v>
      </c>
      <c r="W245" s="204">
        <f t="shared" si="336"/>
        <v>350</v>
      </c>
      <c r="X245" s="455">
        <f t="shared" si="337"/>
        <v>350</v>
      </c>
      <c r="Z245" s="224">
        <f t="shared" si="338"/>
        <v>0.539238891061395</v>
      </c>
      <c r="AA245" s="180">
        <f t="shared" si="339"/>
        <v>2.2639800769753222</v>
      </c>
      <c r="AB245" s="180">
        <f t="shared" si="340"/>
        <v>0.1263812940814858</v>
      </c>
      <c r="AC245" s="180"/>
      <c r="AD245" s="180">
        <f t="shared" si="341"/>
        <v>1.217557251908397</v>
      </c>
      <c r="AE245" s="564">
        <f t="shared" si="342"/>
        <v>277.68323630392587</v>
      </c>
      <c r="AF245" s="547">
        <f t="shared" si="343"/>
        <v>3.6552440597785188E-2</v>
      </c>
      <c r="AH245" s="180">
        <f t="shared" si="344"/>
        <v>0.25333105489975638</v>
      </c>
      <c r="AI245" s="180">
        <f t="shared" si="345"/>
        <v>0.28999999999999998</v>
      </c>
      <c r="AJ245" s="180">
        <f t="shared" si="346"/>
        <v>1.1586761350308148</v>
      </c>
      <c r="AL245" s="564">
        <f t="shared" si="347"/>
        <v>28.999999999999996</v>
      </c>
      <c r="AM245" s="473">
        <f t="shared" si="348"/>
        <v>277.68323630392587</v>
      </c>
      <c r="AO245">
        <f t="shared" si="349"/>
        <v>28.999999999999996</v>
      </c>
      <c r="AP245">
        <f t="shared" si="350"/>
        <v>277.68323630392587</v>
      </c>
      <c r="AR245" s="5">
        <f t="shared" si="314"/>
        <v>3.60122567465864</v>
      </c>
      <c r="AS245" s="5">
        <f t="shared" si="353"/>
        <v>0.31900000000000001</v>
      </c>
      <c r="AT245" s="5">
        <f t="shared" si="354"/>
        <v>3.28222567465864</v>
      </c>
      <c r="AU245" s="180">
        <f t="shared" si="355"/>
        <v>8.8580952380952357E-2</v>
      </c>
      <c r="CB245" s="582">
        <f t="shared" si="351"/>
        <v>-50</v>
      </c>
    </row>
    <row r="246" spans="5:80" x14ac:dyDescent="0.25">
      <c r="E246" s="177">
        <v>30</v>
      </c>
      <c r="F246" s="224">
        <f t="shared" si="352"/>
        <v>0.03</v>
      </c>
      <c r="G246" s="224">
        <f t="shared" si="321"/>
        <v>0.03</v>
      </c>
      <c r="H246" s="224">
        <f t="shared" si="322"/>
        <v>0.189</v>
      </c>
      <c r="I246" s="224">
        <f t="shared" si="323"/>
        <v>0.44999999999999996</v>
      </c>
      <c r="J246" s="560">
        <f t="shared" si="324"/>
        <v>50</v>
      </c>
      <c r="K246" s="455">
        <f t="shared" si="325"/>
        <v>13.1</v>
      </c>
      <c r="L246" s="455">
        <f t="shared" si="326"/>
        <v>63.1</v>
      </c>
      <c r="M246" s="455"/>
      <c r="N246" s="224">
        <f t="shared" si="327"/>
        <v>0.20760697305863707</v>
      </c>
      <c r="O246" s="179">
        <f t="shared" si="328"/>
        <v>2.0033341889689962</v>
      </c>
      <c r="P246" s="179">
        <f t="shared" si="329"/>
        <v>4.7698433070690385</v>
      </c>
      <c r="Q246" s="224">
        <f t="shared" si="330"/>
        <v>0.31798955380460259</v>
      </c>
      <c r="R246" s="224">
        <f t="shared" si="331"/>
        <v>0.13355561259793308</v>
      </c>
      <c r="S246" s="224">
        <f t="shared" si="332"/>
        <v>6.3</v>
      </c>
      <c r="T246" s="224">
        <f t="shared" si="333"/>
        <v>0.1367969465648855</v>
      </c>
      <c r="U246" s="224">
        <f t="shared" si="334"/>
        <v>0.15047664122137405</v>
      </c>
      <c r="V246" s="224">
        <f t="shared" si="335"/>
        <v>0.57433832527242001</v>
      </c>
      <c r="W246" s="204">
        <f t="shared" si="336"/>
        <v>350</v>
      </c>
      <c r="X246" s="455">
        <f t="shared" si="337"/>
        <v>350</v>
      </c>
      <c r="Z246" s="224">
        <f t="shared" si="338"/>
        <v>0.539238891061395</v>
      </c>
      <c r="AA246" s="180">
        <f t="shared" si="339"/>
        <v>2.2639800769753222</v>
      </c>
      <c r="AB246" s="180">
        <f t="shared" si="340"/>
        <v>0.1263812940814858</v>
      </c>
      <c r="AC246" s="180"/>
      <c r="AD246" s="180">
        <f t="shared" si="341"/>
        <v>1.217557251908397</v>
      </c>
      <c r="AE246" s="564">
        <f t="shared" si="342"/>
        <v>287.2585203144061</v>
      </c>
      <c r="AF246" s="547">
        <f t="shared" si="343"/>
        <v>3.6552440597785188E-2</v>
      </c>
      <c r="AH246" s="180">
        <f t="shared" si="344"/>
        <v>0.257661813991927</v>
      </c>
      <c r="AI246" s="180">
        <f t="shared" si="345"/>
        <v>0.28999999999999998</v>
      </c>
      <c r="AJ246" s="180">
        <f t="shared" si="346"/>
        <v>1.1641477258939463</v>
      </c>
      <c r="AL246" s="564">
        <f t="shared" si="347"/>
        <v>30</v>
      </c>
      <c r="AM246" s="473">
        <f t="shared" si="348"/>
        <v>287.2585203144061</v>
      </c>
      <c r="AO246">
        <f t="shared" si="349"/>
        <v>30</v>
      </c>
      <c r="AP246">
        <f t="shared" si="350"/>
        <v>287.2585203144061</v>
      </c>
      <c r="AR246" s="5">
        <f t="shared" si="314"/>
        <v>3.481184818836685</v>
      </c>
      <c r="AS246" s="5">
        <f t="shared" si="353"/>
        <v>0.31900000000000001</v>
      </c>
      <c r="AT246" s="5">
        <f t="shared" si="354"/>
        <v>3.162184818836685</v>
      </c>
      <c r="AU246" s="180">
        <f t="shared" si="355"/>
        <v>9.1635467980295551E-2</v>
      </c>
      <c r="CB246" s="582">
        <f t="shared" si="351"/>
        <v>-50</v>
      </c>
    </row>
    <row r="247" spans="5:80" x14ac:dyDescent="0.25">
      <c r="E247" s="177">
        <v>31</v>
      </c>
      <c r="F247" s="224">
        <f t="shared" si="352"/>
        <v>3.1E-2</v>
      </c>
      <c r="G247" s="224">
        <f t="shared" si="321"/>
        <v>3.1E-2</v>
      </c>
      <c r="H247" s="224">
        <f t="shared" si="322"/>
        <v>0.1953</v>
      </c>
      <c r="I247" s="224">
        <f t="shared" si="323"/>
        <v>0.46499999999999997</v>
      </c>
      <c r="J247" s="560">
        <f t="shared" si="324"/>
        <v>50</v>
      </c>
      <c r="K247" s="455">
        <f t="shared" si="325"/>
        <v>13.1</v>
      </c>
      <c r="L247" s="455">
        <f t="shared" si="326"/>
        <v>63.1</v>
      </c>
      <c r="M247" s="455"/>
      <c r="N247" s="224">
        <f t="shared" si="327"/>
        <v>0.20760697305863707</v>
      </c>
      <c r="O247" s="179">
        <f t="shared" si="328"/>
        <v>2.0033341889689962</v>
      </c>
      <c r="P247" s="179">
        <f t="shared" si="329"/>
        <v>4.7698433070690385</v>
      </c>
      <c r="Q247" s="224">
        <f t="shared" si="330"/>
        <v>0.31798955380460259</v>
      </c>
      <c r="R247" s="224">
        <f t="shared" si="331"/>
        <v>0.13355561259793308</v>
      </c>
      <c r="S247" s="224">
        <f t="shared" si="332"/>
        <v>6.3</v>
      </c>
      <c r="T247" s="224">
        <f t="shared" si="333"/>
        <v>0.14135684478371502</v>
      </c>
      <c r="U247" s="224">
        <f t="shared" si="334"/>
        <v>0.15549252926208654</v>
      </c>
      <c r="V247" s="224">
        <f t="shared" si="335"/>
        <v>0.59348293611483416</v>
      </c>
      <c r="W247" s="204">
        <f t="shared" si="336"/>
        <v>350</v>
      </c>
      <c r="X247" s="455">
        <f t="shared" si="337"/>
        <v>350</v>
      </c>
      <c r="Z247" s="224">
        <f t="shared" si="338"/>
        <v>0.539238891061395</v>
      </c>
      <c r="AA247" s="180">
        <f t="shared" si="339"/>
        <v>2.2639800769753222</v>
      </c>
      <c r="AB247" s="180">
        <f t="shared" si="340"/>
        <v>0.1263812940814858</v>
      </c>
      <c r="AC247" s="180"/>
      <c r="AD247" s="180">
        <f t="shared" si="341"/>
        <v>1.217557251908397</v>
      </c>
      <c r="AE247" s="564">
        <f t="shared" si="342"/>
        <v>296.83380432488633</v>
      </c>
      <c r="AF247" s="547">
        <f t="shared" si="343"/>
        <v>3.6552440597785188E-2</v>
      </c>
      <c r="AH247" s="180">
        <f t="shared" si="344"/>
        <v>0.26192097549184068</v>
      </c>
      <c r="AI247" s="180">
        <f t="shared" si="345"/>
        <v>0.28999999999999998</v>
      </c>
      <c r="AJ247" s="180">
        <f t="shared" si="346"/>
        <v>1.1696193167570779</v>
      </c>
      <c r="AL247" s="564">
        <f t="shared" si="347"/>
        <v>31</v>
      </c>
      <c r="AM247" s="473">
        <f t="shared" si="348"/>
        <v>296.83380432488633</v>
      </c>
      <c r="AO247">
        <f t="shared" si="349"/>
        <v>31</v>
      </c>
      <c r="AP247">
        <f t="shared" si="350"/>
        <v>296.83380432488633</v>
      </c>
      <c r="AR247" s="5">
        <f t="shared" si="314"/>
        <v>3.3688885343580819</v>
      </c>
      <c r="AS247" s="5">
        <f t="shared" si="353"/>
        <v>0.31900000000000001</v>
      </c>
      <c r="AT247" s="5">
        <f t="shared" si="354"/>
        <v>3.0498885343580819</v>
      </c>
      <c r="AU247" s="180">
        <f t="shared" si="355"/>
        <v>9.4689983579638745E-2</v>
      </c>
      <c r="CB247" s="582">
        <f t="shared" si="351"/>
        <v>-50</v>
      </c>
    </row>
    <row r="248" spans="5:80" x14ac:dyDescent="0.25">
      <c r="E248" s="177">
        <v>32</v>
      </c>
      <c r="F248" s="224">
        <f t="shared" si="352"/>
        <v>3.2000000000000001E-2</v>
      </c>
      <c r="G248" s="224">
        <f t="shared" ref="G248:G279" si="356">IF(PLOT_TYPE=1, E248/100*Iout2, min_I*EXP(Q248*rr/100))</f>
        <v>3.2000000000000001E-2</v>
      </c>
      <c r="H248" s="224">
        <f t="shared" ref="H248:H279" si="357">F248*Vout</f>
        <v>0.2016</v>
      </c>
      <c r="I248" s="224">
        <f t="shared" ref="I248:I279" si="358">Vout2*G248</f>
        <v>0.48</v>
      </c>
      <c r="J248" s="560">
        <f t="shared" si="324"/>
        <v>50</v>
      </c>
      <c r="K248" s="455">
        <f t="shared" si="325"/>
        <v>13.1</v>
      </c>
      <c r="L248" s="455">
        <f t="shared" si="326"/>
        <v>63.1</v>
      </c>
      <c r="M248" s="455"/>
      <c r="N248" s="224">
        <f t="shared" si="327"/>
        <v>0.20760697305863707</v>
      </c>
      <c r="O248" s="179">
        <f t="shared" ref="O248:O279" si="359">N248*J248*Isw_max*0.5*Efficiency*Pout/(Pout+Pout2)</f>
        <v>2.0033341889689962</v>
      </c>
      <c r="P248" s="179">
        <f t="shared" ref="P248:P279" si="360">N248*J248*Isw_max*0.5*Efficiency*(Pout2/Pout_total)</f>
        <v>4.7698433070690385</v>
      </c>
      <c r="Q248" s="224">
        <f t="shared" si="330"/>
        <v>0.31798955380460259</v>
      </c>
      <c r="R248" s="224">
        <f t="shared" ref="R248:R279" si="361">O248/Vout2</f>
        <v>0.13355561259793308</v>
      </c>
      <c r="S248" s="224">
        <f t="shared" ref="S248:S279" si="362">MIN(Vout,O248/F248)</f>
        <v>6.3</v>
      </c>
      <c r="T248" s="224">
        <f t="shared" ref="T248:T279" si="363">MIN(2*(Vout*F248+Vout2*G248)/(Efficiency*J248*N248), Isw_max)</f>
        <v>0.14591674300254454</v>
      </c>
      <c r="U248" s="224">
        <f t="shared" si="334"/>
        <v>0.16050841730279897</v>
      </c>
      <c r="V248" s="224">
        <f t="shared" si="335"/>
        <v>0.61262754695724808</v>
      </c>
      <c r="W248" s="204">
        <f t="shared" si="336"/>
        <v>350</v>
      </c>
      <c r="X248" s="455">
        <f t="shared" si="337"/>
        <v>350</v>
      </c>
      <c r="Z248" s="224">
        <f t="shared" si="338"/>
        <v>0.539238891061395</v>
      </c>
      <c r="AA248" s="180">
        <f t="shared" si="339"/>
        <v>2.2639800769753222</v>
      </c>
      <c r="AB248" s="180">
        <f t="shared" ref="AB248:AB279" si="364">0.5*AA248*Z248*Nps*W248/1000*(Pout/(Pout+Pout2))</f>
        <v>0.1263812940814858</v>
      </c>
      <c r="AC248" s="180"/>
      <c r="AD248" s="180">
        <f t="shared" si="341"/>
        <v>1.217557251908397</v>
      </c>
      <c r="AE248" s="564">
        <f t="shared" ref="AE248:AE279" si="365">MAX(10, F248/(0.5*AD248/1000000*Isw_min*Nps)/1000*Pout_total/Pout)</f>
        <v>306.4090883353665</v>
      </c>
      <c r="AF248" s="547">
        <f t="shared" ref="AF248:AF279" si="366">0.5*AD248/1000000*Isw_min*Nps*W248*1000*(Pout/Pout_total)</f>
        <v>3.6552440597785188E-2</v>
      </c>
      <c r="AH248" s="180">
        <f t="shared" ref="AH248:AH279" si="367">SQRT((H248+I248)/(0.5*L*Fsw_DCM))</f>
        <v>0.26611197721182039</v>
      </c>
      <c r="AI248" s="180">
        <f t="shared" ref="AI248:AI279" si="368">MAX(IF(F248&gt;AB248,T248,AH248),Isw_min)</f>
        <v>0.28999999999999998</v>
      </c>
      <c r="AJ248" s="180">
        <f t="shared" ref="AJ248:AJ279" si="369">IF(F248&gt;AF248, (AI248-Isw_min)/1.08*0.8+1.2, AE248*0.2/350+1)</f>
        <v>1.1750909076202094</v>
      </c>
      <c r="AL248" s="564">
        <f t="shared" ref="AL248:AL279" si="370">F248*1000</f>
        <v>32</v>
      </c>
      <c r="AM248" s="473">
        <f t="shared" ref="AM248:AM279" si="371">IF(F248&gt;AF248, X248, AE248)</f>
        <v>306.4090883353665</v>
      </c>
      <c r="AO248">
        <f t="shared" si="349"/>
        <v>32</v>
      </c>
      <c r="AP248">
        <f t="shared" si="350"/>
        <v>306.4090883353665</v>
      </c>
      <c r="AR248" s="5">
        <f t="shared" si="314"/>
        <v>3.2636107676593924</v>
      </c>
      <c r="AS248" s="5">
        <f t="shared" si="353"/>
        <v>0.31900000000000001</v>
      </c>
      <c r="AT248" s="5">
        <f t="shared" si="354"/>
        <v>2.9446107676593924</v>
      </c>
      <c r="AU248" s="180">
        <f t="shared" si="355"/>
        <v>9.7744499178981911E-2</v>
      </c>
      <c r="CB248" s="582">
        <f t="shared" ref="CB248:CB279" si="372">IF(ABS(F248-Ioutmax_Vinmax)&lt;Iout/200, AM248, -50)</f>
        <v>-50</v>
      </c>
    </row>
    <row r="249" spans="5:80" x14ac:dyDescent="0.25">
      <c r="E249" s="177">
        <v>33</v>
      </c>
      <c r="F249" s="224">
        <f t="shared" ref="F249:F280" si="373">IF(PLOT_TYPE=1, E249/100*Iout_max, min_I*EXP(O249*rr/100))</f>
        <v>3.3000000000000002E-2</v>
      </c>
      <c r="G249" s="224">
        <f t="shared" si="356"/>
        <v>3.3000000000000002E-2</v>
      </c>
      <c r="H249" s="224">
        <f t="shared" si="357"/>
        <v>0.2079</v>
      </c>
      <c r="I249" s="224">
        <f t="shared" si="358"/>
        <v>0.495</v>
      </c>
      <c r="J249" s="560">
        <f t="shared" si="324"/>
        <v>50</v>
      </c>
      <c r="K249" s="455">
        <f t="shared" si="325"/>
        <v>13.1</v>
      </c>
      <c r="L249" s="455">
        <f t="shared" si="326"/>
        <v>63.1</v>
      </c>
      <c r="M249" s="455"/>
      <c r="N249" s="224">
        <f t="shared" si="327"/>
        <v>0.20760697305863707</v>
      </c>
      <c r="O249" s="179">
        <f t="shared" si="359"/>
        <v>2.0033341889689962</v>
      </c>
      <c r="P249" s="179">
        <f t="shared" si="360"/>
        <v>4.7698433070690385</v>
      </c>
      <c r="Q249" s="224">
        <f t="shared" si="330"/>
        <v>0.31798955380460259</v>
      </c>
      <c r="R249" s="224">
        <f t="shared" si="361"/>
        <v>0.13355561259793308</v>
      </c>
      <c r="S249" s="224">
        <f t="shared" si="362"/>
        <v>6.3</v>
      </c>
      <c r="T249" s="224">
        <f t="shared" si="363"/>
        <v>0.15047664122137405</v>
      </c>
      <c r="U249" s="224">
        <f t="shared" si="334"/>
        <v>0.16552430534351148</v>
      </c>
      <c r="V249" s="224">
        <f t="shared" si="335"/>
        <v>0.63177215779966212</v>
      </c>
      <c r="W249" s="204">
        <f t="shared" si="336"/>
        <v>350</v>
      </c>
      <c r="X249" s="455">
        <f t="shared" si="337"/>
        <v>350</v>
      </c>
      <c r="Z249" s="224">
        <f t="shared" si="338"/>
        <v>0.539238891061395</v>
      </c>
      <c r="AA249" s="180">
        <f t="shared" si="339"/>
        <v>2.2639800769753222</v>
      </c>
      <c r="AB249" s="180">
        <f t="shared" si="364"/>
        <v>0.1263812940814858</v>
      </c>
      <c r="AC249" s="180"/>
      <c r="AD249" s="180">
        <f t="shared" si="341"/>
        <v>1.217557251908397</v>
      </c>
      <c r="AE249" s="564">
        <f t="shared" si="365"/>
        <v>315.98437234584674</v>
      </c>
      <c r="AF249" s="547">
        <f t="shared" si="366"/>
        <v>3.6552440597785188E-2</v>
      </c>
      <c r="AH249" s="180">
        <f t="shared" si="367"/>
        <v>0.27023799035030482</v>
      </c>
      <c r="AI249" s="180">
        <f t="shared" si="368"/>
        <v>0.28999999999999998</v>
      </c>
      <c r="AJ249" s="180">
        <f t="shared" si="369"/>
        <v>1.1805624984833409</v>
      </c>
      <c r="AL249" s="564">
        <f t="shared" si="370"/>
        <v>33</v>
      </c>
      <c r="AM249" s="473">
        <f t="shared" si="371"/>
        <v>315.98437234584674</v>
      </c>
      <c r="AO249">
        <f t="shared" si="349"/>
        <v>33</v>
      </c>
      <c r="AP249">
        <f t="shared" si="350"/>
        <v>315.98437234584674</v>
      </c>
      <c r="AR249" s="5">
        <f t="shared" si="314"/>
        <v>3.1647134716697134</v>
      </c>
      <c r="AS249" s="5">
        <f t="shared" si="353"/>
        <v>0.31900000000000001</v>
      </c>
      <c r="AT249" s="5">
        <f t="shared" si="354"/>
        <v>2.8457134716697134</v>
      </c>
      <c r="AU249" s="180">
        <f t="shared" si="355"/>
        <v>0.10079901477832511</v>
      </c>
      <c r="CB249" s="582">
        <f t="shared" si="372"/>
        <v>-50</v>
      </c>
    </row>
    <row r="250" spans="5:80" x14ac:dyDescent="0.25">
      <c r="E250" s="177">
        <v>34</v>
      </c>
      <c r="F250" s="224">
        <f t="shared" si="373"/>
        <v>3.4000000000000002E-2</v>
      </c>
      <c r="G250" s="224">
        <f t="shared" si="356"/>
        <v>3.4000000000000002E-2</v>
      </c>
      <c r="H250" s="224">
        <f t="shared" si="357"/>
        <v>0.2142</v>
      </c>
      <c r="I250" s="224">
        <f t="shared" si="358"/>
        <v>0.51</v>
      </c>
      <c r="J250" s="560">
        <f t="shared" si="324"/>
        <v>50</v>
      </c>
      <c r="K250" s="455">
        <f t="shared" si="325"/>
        <v>13.1</v>
      </c>
      <c r="L250" s="455">
        <f t="shared" si="326"/>
        <v>63.1</v>
      </c>
      <c r="M250" s="455"/>
      <c r="N250" s="224">
        <f t="shared" si="327"/>
        <v>0.20760697305863707</v>
      </c>
      <c r="O250" s="179">
        <f t="shared" si="359"/>
        <v>2.0033341889689962</v>
      </c>
      <c r="P250" s="179">
        <f t="shared" si="360"/>
        <v>4.7698433070690385</v>
      </c>
      <c r="Q250" s="224">
        <f t="shared" si="330"/>
        <v>0.31798955380460259</v>
      </c>
      <c r="R250" s="224">
        <f t="shared" si="361"/>
        <v>0.13355561259793308</v>
      </c>
      <c r="S250" s="224">
        <f t="shared" si="362"/>
        <v>6.3</v>
      </c>
      <c r="T250" s="224">
        <f t="shared" si="363"/>
        <v>0.15503653944020357</v>
      </c>
      <c r="U250" s="224">
        <f t="shared" si="334"/>
        <v>0.17054019338422394</v>
      </c>
      <c r="V250" s="224">
        <f t="shared" si="335"/>
        <v>0.65091676864207615</v>
      </c>
      <c r="W250" s="204">
        <f t="shared" si="336"/>
        <v>350</v>
      </c>
      <c r="X250" s="455">
        <f t="shared" si="337"/>
        <v>350</v>
      </c>
      <c r="Z250" s="224">
        <f t="shared" si="338"/>
        <v>0.539238891061395</v>
      </c>
      <c r="AA250" s="180">
        <f t="shared" si="339"/>
        <v>2.2639800769753222</v>
      </c>
      <c r="AB250" s="180">
        <f t="shared" si="364"/>
        <v>0.1263812940814858</v>
      </c>
      <c r="AC250" s="180"/>
      <c r="AD250" s="180">
        <f t="shared" si="341"/>
        <v>1.217557251908397</v>
      </c>
      <c r="AE250" s="564">
        <f t="shared" si="365"/>
        <v>325.55965635632691</v>
      </c>
      <c r="AF250" s="547">
        <f t="shared" si="366"/>
        <v>3.6552440597785188E-2</v>
      </c>
      <c r="AH250" s="180">
        <f t="shared" si="367"/>
        <v>0.27430194757157383</v>
      </c>
      <c r="AI250" s="180">
        <f t="shared" si="368"/>
        <v>0.28999999999999998</v>
      </c>
      <c r="AJ250" s="180">
        <f t="shared" si="369"/>
        <v>1.1860340893464725</v>
      </c>
      <c r="AL250" s="564">
        <f t="shared" si="370"/>
        <v>34</v>
      </c>
      <c r="AM250" s="473">
        <f t="shared" si="371"/>
        <v>325.55965635632691</v>
      </c>
      <c r="AO250">
        <f t="shared" si="349"/>
        <v>34</v>
      </c>
      <c r="AP250">
        <f t="shared" si="350"/>
        <v>325.55965635632691</v>
      </c>
      <c r="AR250" s="5">
        <f t="shared" si="314"/>
        <v>3.0716336636794281</v>
      </c>
      <c r="AS250" s="5">
        <f t="shared" si="353"/>
        <v>0.31900000000000001</v>
      </c>
      <c r="AT250" s="5">
        <f t="shared" si="354"/>
        <v>2.7526336636794282</v>
      </c>
      <c r="AU250" s="180">
        <f t="shared" si="355"/>
        <v>0.10385353037766828</v>
      </c>
      <c r="CB250" s="582">
        <f t="shared" si="372"/>
        <v>-50</v>
      </c>
    </row>
    <row r="251" spans="5:80" x14ac:dyDescent="0.25">
      <c r="E251" s="177">
        <v>35</v>
      </c>
      <c r="F251" s="224">
        <f t="shared" si="373"/>
        <v>3.4999999999999996E-2</v>
      </c>
      <c r="G251" s="224">
        <f t="shared" si="356"/>
        <v>3.4999999999999996E-2</v>
      </c>
      <c r="H251" s="224">
        <f t="shared" si="357"/>
        <v>0.22049999999999997</v>
      </c>
      <c r="I251" s="224">
        <f t="shared" si="358"/>
        <v>0.52499999999999991</v>
      </c>
      <c r="J251" s="560">
        <f t="shared" si="324"/>
        <v>50</v>
      </c>
      <c r="K251" s="455">
        <f t="shared" si="325"/>
        <v>13.1</v>
      </c>
      <c r="L251" s="455">
        <f t="shared" si="326"/>
        <v>63.1</v>
      </c>
      <c r="M251" s="455"/>
      <c r="N251" s="224">
        <f t="shared" si="327"/>
        <v>0.20760697305863707</v>
      </c>
      <c r="O251" s="179">
        <f t="shared" si="359"/>
        <v>2.0033341889689962</v>
      </c>
      <c r="P251" s="179">
        <f t="shared" si="360"/>
        <v>4.7698433070690385</v>
      </c>
      <c r="Q251" s="224">
        <f t="shared" si="330"/>
        <v>0.31798955380460259</v>
      </c>
      <c r="R251" s="224">
        <f t="shared" si="361"/>
        <v>0.13355561259793308</v>
      </c>
      <c r="S251" s="224">
        <f t="shared" si="362"/>
        <v>6.3</v>
      </c>
      <c r="T251" s="224">
        <f t="shared" si="363"/>
        <v>0.15959643765903306</v>
      </c>
      <c r="U251" s="224">
        <f t="shared" si="334"/>
        <v>0.17555608142493637</v>
      </c>
      <c r="V251" s="224">
        <f t="shared" si="335"/>
        <v>0.67006137948448996</v>
      </c>
      <c r="W251" s="204">
        <f t="shared" si="336"/>
        <v>350</v>
      </c>
      <c r="X251" s="455">
        <f t="shared" si="337"/>
        <v>350</v>
      </c>
      <c r="Z251" s="224">
        <f t="shared" si="338"/>
        <v>0.539238891061395</v>
      </c>
      <c r="AA251" s="180">
        <f t="shared" si="339"/>
        <v>2.2639800769753222</v>
      </c>
      <c r="AB251" s="180">
        <f t="shared" si="364"/>
        <v>0.1263812940814858</v>
      </c>
      <c r="AC251" s="180"/>
      <c r="AD251" s="180">
        <f t="shared" si="341"/>
        <v>1.217557251908397</v>
      </c>
      <c r="AE251" s="564">
        <f t="shared" si="365"/>
        <v>335.13494036680709</v>
      </c>
      <c r="AF251" s="547">
        <f t="shared" si="366"/>
        <v>3.6552440597785188E-2</v>
      </c>
      <c r="AH251" s="180">
        <f t="shared" si="367"/>
        <v>0.27830656739384618</v>
      </c>
      <c r="AI251" s="180">
        <f t="shared" si="368"/>
        <v>0.28999999999999998</v>
      </c>
      <c r="AJ251" s="180">
        <f t="shared" si="369"/>
        <v>1.191505680209604</v>
      </c>
      <c r="AL251" s="564">
        <f t="shared" si="370"/>
        <v>34.999999999999993</v>
      </c>
      <c r="AM251" s="473">
        <f t="shared" si="371"/>
        <v>335.13494036680709</v>
      </c>
      <c r="AO251">
        <f t="shared" si="349"/>
        <v>34.999999999999993</v>
      </c>
      <c r="AP251">
        <f t="shared" si="350"/>
        <v>335.13494036680709</v>
      </c>
      <c r="AR251" s="5">
        <f t="shared" si="314"/>
        <v>2.9838727018600162</v>
      </c>
      <c r="AS251" s="5">
        <f t="shared" si="353"/>
        <v>0.31900000000000001</v>
      </c>
      <c r="AT251" s="5">
        <f t="shared" si="354"/>
        <v>2.6648727018600162</v>
      </c>
      <c r="AU251" s="180">
        <f t="shared" si="355"/>
        <v>0.10690804597701145</v>
      </c>
      <c r="CB251" s="582">
        <f t="shared" si="372"/>
        <v>-50</v>
      </c>
    </row>
    <row r="252" spans="5:80" x14ac:dyDescent="0.25">
      <c r="E252" s="177">
        <v>36</v>
      </c>
      <c r="F252" s="224">
        <f t="shared" si="373"/>
        <v>3.5999999999999997E-2</v>
      </c>
      <c r="G252" s="224">
        <f t="shared" si="356"/>
        <v>3.5999999999999997E-2</v>
      </c>
      <c r="H252" s="224">
        <f t="shared" si="357"/>
        <v>0.22679999999999997</v>
      </c>
      <c r="I252" s="224">
        <f t="shared" si="358"/>
        <v>0.53999999999999992</v>
      </c>
      <c r="J252" s="560">
        <f t="shared" si="324"/>
        <v>50</v>
      </c>
      <c r="K252" s="455">
        <f t="shared" si="325"/>
        <v>13.1</v>
      </c>
      <c r="L252" s="455">
        <f t="shared" si="326"/>
        <v>63.1</v>
      </c>
      <c r="M252" s="455"/>
      <c r="N252" s="224">
        <f t="shared" si="327"/>
        <v>0.20760697305863707</v>
      </c>
      <c r="O252" s="179">
        <f t="shared" si="359"/>
        <v>2.0033341889689962</v>
      </c>
      <c r="P252" s="179">
        <f t="shared" si="360"/>
        <v>4.7698433070690385</v>
      </c>
      <c r="Q252" s="224">
        <f t="shared" si="330"/>
        <v>0.31798955380460259</v>
      </c>
      <c r="R252" s="224">
        <f t="shared" si="361"/>
        <v>0.13355561259793308</v>
      </c>
      <c r="S252" s="224">
        <f t="shared" si="362"/>
        <v>6.3</v>
      </c>
      <c r="T252" s="224">
        <f t="shared" si="363"/>
        <v>0.1641563358778626</v>
      </c>
      <c r="U252" s="224">
        <f t="shared" si="334"/>
        <v>0.18057196946564888</v>
      </c>
      <c r="V252" s="224">
        <f t="shared" si="335"/>
        <v>0.68920599032690411</v>
      </c>
      <c r="W252" s="204">
        <f t="shared" si="336"/>
        <v>350</v>
      </c>
      <c r="X252" s="455">
        <f t="shared" si="337"/>
        <v>350</v>
      </c>
      <c r="Z252" s="224">
        <f t="shared" si="338"/>
        <v>0.539238891061395</v>
      </c>
      <c r="AA252" s="180">
        <f t="shared" si="339"/>
        <v>2.2639800769753222</v>
      </c>
      <c r="AB252" s="180">
        <f t="shared" si="364"/>
        <v>0.1263812940814858</v>
      </c>
      <c r="AC252" s="180"/>
      <c r="AD252" s="180">
        <f t="shared" si="341"/>
        <v>1.217557251908397</v>
      </c>
      <c r="AE252" s="564">
        <f t="shared" si="365"/>
        <v>344.71022437728732</v>
      </c>
      <c r="AF252" s="547">
        <f t="shared" si="366"/>
        <v>3.6552440597785188E-2</v>
      </c>
      <c r="AH252" s="180">
        <f t="shared" si="367"/>
        <v>0.28225437546215726</v>
      </c>
      <c r="AI252" s="180">
        <f t="shared" si="368"/>
        <v>0.28999999999999998</v>
      </c>
      <c r="AJ252" s="180">
        <f t="shared" si="369"/>
        <v>1.1969772710727355</v>
      </c>
      <c r="AL252" s="564">
        <f t="shared" si="370"/>
        <v>36</v>
      </c>
      <c r="AM252" s="473">
        <f t="shared" si="371"/>
        <v>344.71022437728732</v>
      </c>
      <c r="AO252">
        <f t="shared" si="349"/>
        <v>36</v>
      </c>
      <c r="AP252">
        <f t="shared" si="350"/>
        <v>344.71022437728732</v>
      </c>
      <c r="AR252" s="5">
        <f t="shared" si="314"/>
        <v>2.9009873490305709</v>
      </c>
      <c r="AS252" s="5">
        <f t="shared" si="353"/>
        <v>0.31900000000000001</v>
      </c>
      <c r="AT252" s="5">
        <f t="shared" si="354"/>
        <v>2.5819873490305709</v>
      </c>
      <c r="AU252" s="180">
        <f t="shared" si="355"/>
        <v>0.10996256157635466</v>
      </c>
      <c r="CB252" s="582">
        <f t="shared" si="372"/>
        <v>-50</v>
      </c>
    </row>
    <row r="253" spans="5:80" x14ac:dyDescent="0.25">
      <c r="E253" s="177">
        <v>37</v>
      </c>
      <c r="F253" s="224">
        <f t="shared" si="373"/>
        <v>3.6999999999999998E-2</v>
      </c>
      <c r="G253" s="224">
        <f t="shared" si="356"/>
        <v>3.6999999999999998E-2</v>
      </c>
      <c r="H253" s="224">
        <f t="shared" si="357"/>
        <v>0.23309999999999997</v>
      </c>
      <c r="I253" s="224">
        <f t="shared" si="358"/>
        <v>0.55499999999999994</v>
      </c>
      <c r="J253" s="560">
        <f t="shared" si="324"/>
        <v>50</v>
      </c>
      <c r="K253" s="455">
        <f t="shared" si="325"/>
        <v>13.1</v>
      </c>
      <c r="L253" s="455">
        <f t="shared" si="326"/>
        <v>63.1</v>
      </c>
      <c r="M253" s="455"/>
      <c r="N253" s="224">
        <f t="shared" si="327"/>
        <v>0.20760697305863707</v>
      </c>
      <c r="O253" s="179">
        <f t="shared" si="359"/>
        <v>2.0033341889689962</v>
      </c>
      <c r="P253" s="179">
        <f t="shared" si="360"/>
        <v>4.7698433070690385</v>
      </c>
      <c r="Q253" s="224">
        <f t="shared" si="330"/>
        <v>0.31798955380460259</v>
      </c>
      <c r="R253" s="224">
        <f t="shared" si="361"/>
        <v>0.13355561259793308</v>
      </c>
      <c r="S253" s="224">
        <f t="shared" si="362"/>
        <v>6.3</v>
      </c>
      <c r="T253" s="224">
        <f t="shared" si="363"/>
        <v>0.16871623409669212</v>
      </c>
      <c r="U253" s="224">
        <f t="shared" si="334"/>
        <v>0.18558785750636134</v>
      </c>
      <c r="V253" s="224">
        <f t="shared" si="335"/>
        <v>0.70835060116931814</v>
      </c>
      <c r="W253" s="204">
        <f t="shared" si="336"/>
        <v>350</v>
      </c>
      <c r="X253" s="455">
        <f t="shared" si="337"/>
        <v>350</v>
      </c>
      <c r="Z253" s="224">
        <f t="shared" si="338"/>
        <v>0.539238891061395</v>
      </c>
      <c r="AA253" s="180">
        <f t="shared" si="339"/>
        <v>2.2639800769753222</v>
      </c>
      <c r="AB253" s="180">
        <f t="shared" si="364"/>
        <v>0.1263812940814858</v>
      </c>
      <c r="AC253" s="180"/>
      <c r="AD253" s="180">
        <f t="shared" si="341"/>
        <v>1.217557251908397</v>
      </c>
      <c r="AE253" s="564">
        <f t="shared" si="365"/>
        <v>354.28550838776755</v>
      </c>
      <c r="AF253" s="547">
        <f t="shared" si="366"/>
        <v>3.6552440597785188E-2</v>
      </c>
      <c r="AH253" s="180">
        <f t="shared" si="367"/>
        <v>0.28614772317898929</v>
      </c>
      <c r="AI253" s="180">
        <f t="shared" si="368"/>
        <v>0.28999999999999998</v>
      </c>
      <c r="AJ253" s="180">
        <f t="shared" si="369"/>
        <v>1.2</v>
      </c>
      <c r="AL253" s="564">
        <f t="shared" si="370"/>
        <v>37</v>
      </c>
      <c r="AM253" s="473">
        <f t="shared" si="371"/>
        <v>350</v>
      </c>
      <c r="AO253">
        <f t="shared" si="349"/>
        <v>37</v>
      </c>
      <c r="AP253">
        <f t="shared" si="350"/>
        <v>350</v>
      </c>
      <c r="AR253" s="5">
        <f t="shared" si="314"/>
        <v>2.8571428571428572</v>
      </c>
      <c r="AS253" s="5">
        <f t="shared" si="353"/>
        <v>0.31900000000000001</v>
      </c>
      <c r="AT253" s="5">
        <f t="shared" si="354"/>
        <v>2.5381428571428573</v>
      </c>
      <c r="AU253" s="180">
        <f t="shared" si="355"/>
        <v>0.11165</v>
      </c>
      <c r="CB253" s="582">
        <f t="shared" si="372"/>
        <v>-50</v>
      </c>
    </row>
    <row r="254" spans="5:80" x14ac:dyDescent="0.25">
      <c r="E254" s="177">
        <v>38</v>
      </c>
      <c r="F254" s="224">
        <f t="shared" si="373"/>
        <v>3.8000000000000006E-2</v>
      </c>
      <c r="G254" s="224">
        <f t="shared" si="356"/>
        <v>3.8000000000000006E-2</v>
      </c>
      <c r="H254" s="224">
        <f t="shared" si="357"/>
        <v>0.23940000000000003</v>
      </c>
      <c r="I254" s="224">
        <f t="shared" si="358"/>
        <v>0.57000000000000006</v>
      </c>
      <c r="J254" s="560">
        <f t="shared" si="324"/>
        <v>50</v>
      </c>
      <c r="K254" s="455">
        <f t="shared" si="325"/>
        <v>13.1</v>
      </c>
      <c r="L254" s="455">
        <f t="shared" si="326"/>
        <v>63.1</v>
      </c>
      <c r="M254" s="455"/>
      <c r="N254" s="224">
        <f t="shared" si="327"/>
        <v>0.20760697305863707</v>
      </c>
      <c r="O254" s="179">
        <f t="shared" si="359"/>
        <v>2.0033341889689962</v>
      </c>
      <c r="P254" s="179">
        <f t="shared" si="360"/>
        <v>4.7698433070690385</v>
      </c>
      <c r="Q254" s="224">
        <f t="shared" si="330"/>
        <v>0.31798955380460259</v>
      </c>
      <c r="R254" s="224">
        <f t="shared" si="361"/>
        <v>0.13355561259793308</v>
      </c>
      <c r="S254" s="224">
        <f t="shared" si="362"/>
        <v>6.3</v>
      </c>
      <c r="T254" s="224">
        <f t="shared" si="363"/>
        <v>0.17327613231552166</v>
      </c>
      <c r="U254" s="224">
        <f t="shared" si="334"/>
        <v>0.19060374554707385</v>
      </c>
      <c r="V254" s="224">
        <f t="shared" si="335"/>
        <v>0.72749521201173217</v>
      </c>
      <c r="W254" s="204">
        <f t="shared" si="336"/>
        <v>350</v>
      </c>
      <c r="X254" s="455">
        <f t="shared" si="337"/>
        <v>350</v>
      </c>
      <c r="Z254" s="224">
        <f t="shared" si="338"/>
        <v>0.539238891061395</v>
      </c>
      <c r="AA254" s="180">
        <f t="shared" si="339"/>
        <v>2.2639800769753222</v>
      </c>
      <c r="AB254" s="180">
        <f t="shared" si="364"/>
        <v>0.1263812940814858</v>
      </c>
      <c r="AC254" s="180"/>
      <c r="AD254" s="180">
        <f t="shared" si="341"/>
        <v>1.217557251908397</v>
      </c>
      <c r="AE254" s="564">
        <f t="shared" si="365"/>
        <v>363.86079239824778</v>
      </c>
      <c r="AF254" s="547">
        <f t="shared" si="366"/>
        <v>3.6552440597785188E-2</v>
      </c>
      <c r="AH254" s="180">
        <f t="shared" si="367"/>
        <v>0.28998880408303096</v>
      </c>
      <c r="AI254" s="180">
        <f t="shared" si="368"/>
        <v>0.28999999999999998</v>
      </c>
      <c r="AJ254" s="180">
        <f t="shared" si="369"/>
        <v>1.2</v>
      </c>
      <c r="AL254" s="564">
        <f t="shared" si="370"/>
        <v>38.000000000000007</v>
      </c>
      <c r="AM254" s="473">
        <f t="shared" si="371"/>
        <v>350</v>
      </c>
      <c r="AO254">
        <f t="shared" si="349"/>
        <v>38.000000000000007</v>
      </c>
      <c r="AP254">
        <f t="shared" si="350"/>
        <v>350</v>
      </c>
      <c r="AR254" s="5">
        <f t="shared" si="314"/>
        <v>2.8571428571428572</v>
      </c>
      <c r="AS254" s="5">
        <f t="shared" si="353"/>
        <v>0.31900000000000001</v>
      </c>
      <c r="AT254" s="5">
        <f t="shared" si="354"/>
        <v>2.5381428571428573</v>
      </c>
      <c r="AU254" s="180">
        <f t="shared" si="355"/>
        <v>0.11165</v>
      </c>
      <c r="CB254" s="582">
        <f t="shared" si="372"/>
        <v>-50</v>
      </c>
    </row>
    <row r="255" spans="5:80" x14ac:dyDescent="0.25">
      <c r="E255" s="177">
        <v>39</v>
      </c>
      <c r="F255" s="224">
        <f t="shared" si="373"/>
        <v>3.9000000000000007E-2</v>
      </c>
      <c r="G255" s="224">
        <f t="shared" si="356"/>
        <v>3.9000000000000007E-2</v>
      </c>
      <c r="H255" s="224">
        <f t="shared" si="357"/>
        <v>0.24570000000000003</v>
      </c>
      <c r="I255" s="224">
        <f t="shared" si="358"/>
        <v>0.58500000000000008</v>
      </c>
      <c r="J255" s="560">
        <f t="shared" si="324"/>
        <v>50</v>
      </c>
      <c r="K255" s="455">
        <f t="shared" si="325"/>
        <v>13.1</v>
      </c>
      <c r="L255" s="455">
        <f t="shared" si="326"/>
        <v>63.1</v>
      </c>
      <c r="M255" s="455"/>
      <c r="N255" s="224">
        <f t="shared" si="327"/>
        <v>0.20760697305863707</v>
      </c>
      <c r="O255" s="179">
        <f t="shared" si="359"/>
        <v>2.0033341889689962</v>
      </c>
      <c r="P255" s="179">
        <f t="shared" si="360"/>
        <v>4.7698433070690385</v>
      </c>
      <c r="Q255" s="224">
        <f t="shared" si="330"/>
        <v>0.31798955380460259</v>
      </c>
      <c r="R255" s="224">
        <f t="shared" si="361"/>
        <v>0.13355561259793308</v>
      </c>
      <c r="S255" s="224">
        <f t="shared" si="362"/>
        <v>6.3</v>
      </c>
      <c r="T255" s="224">
        <f t="shared" si="363"/>
        <v>0.17783603053435118</v>
      </c>
      <c r="U255" s="224">
        <f t="shared" si="334"/>
        <v>0.19561963358778633</v>
      </c>
      <c r="V255" s="224">
        <f t="shared" si="335"/>
        <v>0.74663982285414621</v>
      </c>
      <c r="W255" s="204">
        <f t="shared" si="336"/>
        <v>350</v>
      </c>
      <c r="X255" s="455">
        <f t="shared" si="337"/>
        <v>350</v>
      </c>
      <c r="Z255" s="224">
        <f t="shared" si="338"/>
        <v>0.539238891061395</v>
      </c>
      <c r="AA255" s="180">
        <f t="shared" si="339"/>
        <v>2.2639800769753222</v>
      </c>
      <c r="AB255" s="180">
        <f t="shared" si="364"/>
        <v>0.1263812940814858</v>
      </c>
      <c r="AC255" s="180"/>
      <c r="AD255" s="180">
        <f t="shared" si="341"/>
        <v>1.217557251908397</v>
      </c>
      <c r="AE255" s="564">
        <f t="shared" si="365"/>
        <v>373.43607640872796</v>
      </c>
      <c r="AF255" s="547">
        <f t="shared" si="366"/>
        <v>3.6552440597785188E-2</v>
      </c>
      <c r="AH255" s="180">
        <f t="shared" si="367"/>
        <v>0.29377966830006041</v>
      </c>
      <c r="AI255" s="180">
        <f t="shared" si="368"/>
        <v>0.29377966830006041</v>
      </c>
      <c r="AJ255" s="180">
        <f t="shared" si="369"/>
        <v>1.2027997542963411</v>
      </c>
      <c r="AL255" s="564">
        <f t="shared" si="370"/>
        <v>39.000000000000007</v>
      </c>
      <c r="AM255" s="473">
        <f t="shared" si="371"/>
        <v>350</v>
      </c>
      <c r="AO255">
        <f t="shared" si="349"/>
        <v>39.000000000000007</v>
      </c>
      <c r="AP255">
        <f t="shared" si="350"/>
        <v>350</v>
      </c>
      <c r="AR255" s="5">
        <f t="shared" si="314"/>
        <v>2.8571428571428572</v>
      </c>
      <c r="AS255" s="5">
        <f t="shared" si="353"/>
        <v>0.32315763513006651</v>
      </c>
      <c r="AT255" s="5">
        <f t="shared" si="354"/>
        <v>2.5339852220127908</v>
      </c>
      <c r="AU255" s="180">
        <f t="shared" si="355"/>
        <v>0.11310517229552328</v>
      </c>
      <c r="CB255" s="582">
        <f t="shared" si="372"/>
        <v>-50</v>
      </c>
    </row>
    <row r="256" spans="5:80" x14ac:dyDescent="0.25">
      <c r="E256" s="177">
        <v>40</v>
      </c>
      <c r="F256" s="224">
        <f t="shared" si="373"/>
        <v>4.0000000000000008E-2</v>
      </c>
      <c r="G256" s="224">
        <f t="shared" si="356"/>
        <v>4.0000000000000008E-2</v>
      </c>
      <c r="H256" s="224">
        <f t="shared" si="357"/>
        <v>0.25200000000000006</v>
      </c>
      <c r="I256" s="224">
        <f t="shared" si="358"/>
        <v>0.60000000000000009</v>
      </c>
      <c r="J256" s="560">
        <f t="shared" si="324"/>
        <v>50</v>
      </c>
      <c r="K256" s="455">
        <f t="shared" si="325"/>
        <v>13.1</v>
      </c>
      <c r="L256" s="455">
        <f t="shared" si="326"/>
        <v>63.1</v>
      </c>
      <c r="M256" s="455"/>
      <c r="N256" s="224">
        <f t="shared" si="327"/>
        <v>0.20760697305863707</v>
      </c>
      <c r="O256" s="179">
        <f t="shared" si="359"/>
        <v>2.0033341889689962</v>
      </c>
      <c r="P256" s="179">
        <f t="shared" si="360"/>
        <v>4.7698433070690385</v>
      </c>
      <c r="Q256" s="224">
        <f t="shared" si="330"/>
        <v>0.31798955380460259</v>
      </c>
      <c r="R256" s="224">
        <f t="shared" si="361"/>
        <v>0.13355561259793308</v>
      </c>
      <c r="S256" s="224">
        <f t="shared" si="362"/>
        <v>6.3</v>
      </c>
      <c r="T256" s="224">
        <f t="shared" si="363"/>
        <v>0.1823959287531807</v>
      </c>
      <c r="U256" s="224">
        <f t="shared" si="334"/>
        <v>0.20063552162849876</v>
      </c>
      <c r="V256" s="224">
        <f t="shared" si="335"/>
        <v>0.76578443369656024</v>
      </c>
      <c r="W256" s="204">
        <f t="shared" si="336"/>
        <v>350</v>
      </c>
      <c r="X256" s="455">
        <f t="shared" si="337"/>
        <v>350</v>
      </c>
      <c r="Z256" s="224">
        <f t="shared" si="338"/>
        <v>0.539238891061395</v>
      </c>
      <c r="AA256" s="180">
        <f t="shared" si="339"/>
        <v>2.2639800769753222</v>
      </c>
      <c r="AB256" s="180">
        <f t="shared" si="364"/>
        <v>0.1263812940814858</v>
      </c>
      <c r="AC256" s="180"/>
      <c r="AD256" s="180">
        <f t="shared" si="341"/>
        <v>1.217557251908397</v>
      </c>
      <c r="AE256" s="564">
        <f t="shared" si="365"/>
        <v>383.01136041920824</v>
      </c>
      <c r="AF256" s="547">
        <f t="shared" si="366"/>
        <v>3.6552440597785188E-2</v>
      </c>
      <c r="AH256" s="180">
        <f t="shared" si="367"/>
        <v>0.29752223533625266</v>
      </c>
      <c r="AI256" s="180">
        <f t="shared" si="368"/>
        <v>0.29752223533625266</v>
      </c>
      <c r="AJ256" s="180">
        <f t="shared" si="369"/>
        <v>1.205572026175002</v>
      </c>
      <c r="AL256" s="564">
        <f t="shared" si="370"/>
        <v>40.000000000000007</v>
      </c>
      <c r="AM256" s="473">
        <f t="shared" si="371"/>
        <v>350</v>
      </c>
      <c r="AO256">
        <f t="shared" si="349"/>
        <v>40.000000000000007</v>
      </c>
      <c r="AP256">
        <f t="shared" si="350"/>
        <v>350</v>
      </c>
      <c r="AR256" s="5">
        <f t="shared" si="314"/>
        <v>2.8571428571428572</v>
      </c>
      <c r="AS256" s="5">
        <f t="shared" si="353"/>
        <v>0.32727445886987794</v>
      </c>
      <c r="AT256" s="5">
        <f t="shared" si="354"/>
        <v>2.5298683982729795</v>
      </c>
      <c r="AU256" s="180">
        <f t="shared" si="355"/>
        <v>0.11454606060445728</v>
      </c>
      <c r="CB256" s="582">
        <f t="shared" si="372"/>
        <v>-50</v>
      </c>
    </row>
    <row r="257" spans="5:80" x14ac:dyDescent="0.25">
      <c r="E257" s="177">
        <v>41</v>
      </c>
      <c r="F257" s="224">
        <f t="shared" si="373"/>
        <v>4.1000000000000002E-2</v>
      </c>
      <c r="G257" s="224">
        <f t="shared" si="356"/>
        <v>4.1000000000000002E-2</v>
      </c>
      <c r="H257" s="224">
        <f t="shared" si="357"/>
        <v>0.25830000000000003</v>
      </c>
      <c r="I257" s="224">
        <f t="shared" si="358"/>
        <v>0.61499999999999999</v>
      </c>
      <c r="J257" s="560">
        <f t="shared" si="324"/>
        <v>50</v>
      </c>
      <c r="K257" s="455">
        <f t="shared" si="325"/>
        <v>13.1</v>
      </c>
      <c r="L257" s="455">
        <f t="shared" si="326"/>
        <v>63.1</v>
      </c>
      <c r="M257" s="455"/>
      <c r="N257" s="224">
        <f t="shared" si="327"/>
        <v>0.20760697305863707</v>
      </c>
      <c r="O257" s="179">
        <f t="shared" si="359"/>
        <v>2.0033341889689962</v>
      </c>
      <c r="P257" s="179">
        <f t="shared" si="360"/>
        <v>4.7698433070690385</v>
      </c>
      <c r="Q257" s="224">
        <f t="shared" si="330"/>
        <v>0.31798955380460259</v>
      </c>
      <c r="R257" s="224">
        <f t="shared" si="361"/>
        <v>0.13355561259793308</v>
      </c>
      <c r="S257" s="224">
        <f t="shared" si="362"/>
        <v>6.3</v>
      </c>
      <c r="T257" s="224">
        <f t="shared" si="363"/>
        <v>0.18695582697201019</v>
      </c>
      <c r="U257" s="224">
        <f t="shared" si="334"/>
        <v>0.20565140966921122</v>
      </c>
      <c r="V257" s="224">
        <f t="shared" si="335"/>
        <v>0.78492904453897405</v>
      </c>
      <c r="W257" s="204">
        <f t="shared" si="336"/>
        <v>350</v>
      </c>
      <c r="X257" s="455">
        <f t="shared" si="337"/>
        <v>350</v>
      </c>
      <c r="Z257" s="224">
        <f t="shared" si="338"/>
        <v>0.539238891061395</v>
      </c>
      <c r="AA257" s="180">
        <f t="shared" si="339"/>
        <v>2.2639800769753222</v>
      </c>
      <c r="AB257" s="180">
        <f t="shared" si="364"/>
        <v>0.1263812940814858</v>
      </c>
      <c r="AC257" s="180"/>
      <c r="AD257" s="180">
        <f t="shared" si="341"/>
        <v>1.217557251908397</v>
      </c>
      <c r="AE257" s="564">
        <f t="shared" si="365"/>
        <v>392.58664442968842</v>
      </c>
      <c r="AF257" s="547">
        <f t="shared" si="366"/>
        <v>3.6552440597785188E-2</v>
      </c>
      <c r="AH257" s="180">
        <f t="shared" si="367"/>
        <v>0.30121830544053513</v>
      </c>
      <c r="AI257" s="180">
        <f t="shared" si="368"/>
        <v>0.30121830544053513</v>
      </c>
      <c r="AJ257" s="180">
        <f t="shared" si="369"/>
        <v>1.2083098558818779</v>
      </c>
      <c r="AL257" s="564">
        <f t="shared" si="370"/>
        <v>41</v>
      </c>
      <c r="AM257" s="473">
        <f t="shared" si="371"/>
        <v>350</v>
      </c>
      <c r="AO257">
        <f t="shared" si="349"/>
        <v>41</v>
      </c>
      <c r="AP257">
        <f t="shared" si="350"/>
        <v>350</v>
      </c>
      <c r="AR257" s="5">
        <f t="shared" si="314"/>
        <v>2.8571428571428572</v>
      </c>
      <c r="AS257" s="5">
        <f t="shared" si="353"/>
        <v>0.33134013598458861</v>
      </c>
      <c r="AT257" s="5">
        <f t="shared" si="354"/>
        <v>2.5258027211582688</v>
      </c>
      <c r="AU257" s="180">
        <f t="shared" si="355"/>
        <v>0.11596904759460601</v>
      </c>
      <c r="CB257" s="582">
        <f t="shared" si="372"/>
        <v>-50</v>
      </c>
    </row>
    <row r="258" spans="5:80" x14ac:dyDescent="0.25">
      <c r="E258" s="177">
        <v>42</v>
      </c>
      <c r="F258" s="224">
        <f t="shared" si="373"/>
        <v>4.2000000000000003E-2</v>
      </c>
      <c r="G258" s="224">
        <f t="shared" si="356"/>
        <v>4.2000000000000003E-2</v>
      </c>
      <c r="H258" s="224">
        <f t="shared" si="357"/>
        <v>0.2646</v>
      </c>
      <c r="I258" s="224">
        <f t="shared" si="358"/>
        <v>0.63</v>
      </c>
      <c r="J258" s="560">
        <f t="shared" si="324"/>
        <v>50</v>
      </c>
      <c r="K258" s="455">
        <f t="shared" si="325"/>
        <v>13.1</v>
      </c>
      <c r="L258" s="455">
        <f t="shared" si="326"/>
        <v>63.1</v>
      </c>
      <c r="M258" s="455"/>
      <c r="N258" s="224">
        <f t="shared" si="327"/>
        <v>0.20760697305863707</v>
      </c>
      <c r="O258" s="179">
        <f t="shared" si="359"/>
        <v>2.0033341889689962</v>
      </c>
      <c r="P258" s="179">
        <f t="shared" si="360"/>
        <v>4.7698433070690385</v>
      </c>
      <c r="Q258" s="224">
        <f t="shared" si="330"/>
        <v>0.31798955380460259</v>
      </c>
      <c r="R258" s="224">
        <f t="shared" si="361"/>
        <v>0.13355561259793308</v>
      </c>
      <c r="S258" s="224">
        <f t="shared" si="362"/>
        <v>6.3</v>
      </c>
      <c r="T258" s="224">
        <f t="shared" si="363"/>
        <v>0.19151572519083973</v>
      </c>
      <c r="U258" s="224">
        <f t="shared" si="334"/>
        <v>0.21066729770992373</v>
      </c>
      <c r="V258" s="224">
        <f t="shared" si="335"/>
        <v>0.80407365538138831</v>
      </c>
      <c r="W258" s="204">
        <f t="shared" si="336"/>
        <v>350</v>
      </c>
      <c r="X258" s="455">
        <f t="shared" si="337"/>
        <v>350</v>
      </c>
      <c r="Z258" s="224">
        <f t="shared" si="338"/>
        <v>0.539238891061395</v>
      </c>
      <c r="AA258" s="180">
        <f t="shared" si="339"/>
        <v>2.2639800769753222</v>
      </c>
      <c r="AB258" s="180">
        <f t="shared" si="364"/>
        <v>0.1263812940814858</v>
      </c>
      <c r="AC258" s="180"/>
      <c r="AD258" s="180">
        <f t="shared" si="341"/>
        <v>1.217557251908397</v>
      </c>
      <c r="AE258" s="564">
        <f t="shared" si="365"/>
        <v>402.16192844016854</v>
      </c>
      <c r="AF258" s="547">
        <f t="shared" si="366"/>
        <v>3.6552440597785188E-2</v>
      </c>
      <c r="AH258" s="180">
        <f t="shared" si="367"/>
        <v>0.30486956972688262</v>
      </c>
      <c r="AI258" s="180">
        <f t="shared" si="368"/>
        <v>0.30486956972688262</v>
      </c>
      <c r="AJ258" s="180">
        <f t="shared" si="369"/>
        <v>1.211014496093987</v>
      </c>
      <c r="AL258" s="564">
        <f t="shared" si="370"/>
        <v>42</v>
      </c>
      <c r="AM258" s="473">
        <f t="shared" si="371"/>
        <v>350</v>
      </c>
      <c r="AO258">
        <f t="shared" si="349"/>
        <v>42</v>
      </c>
      <c r="AP258">
        <f t="shared" si="350"/>
        <v>350</v>
      </c>
      <c r="AR258" s="5">
        <f t="shared" si="314"/>
        <v>2.8571428571428572</v>
      </c>
      <c r="AS258" s="5">
        <f t="shared" si="353"/>
        <v>0.33535652669957094</v>
      </c>
      <c r="AT258" s="5">
        <f t="shared" si="354"/>
        <v>2.5217863304432862</v>
      </c>
      <c r="AU258" s="180">
        <f t="shared" si="355"/>
        <v>0.11737478434484983</v>
      </c>
      <c r="CB258" s="582">
        <f t="shared" si="372"/>
        <v>-50</v>
      </c>
    </row>
    <row r="259" spans="5:80" x14ac:dyDescent="0.25">
      <c r="E259" s="177">
        <v>43</v>
      </c>
      <c r="F259" s="224">
        <f t="shared" si="373"/>
        <v>4.3000000000000003E-2</v>
      </c>
      <c r="G259" s="224">
        <f t="shared" si="356"/>
        <v>4.3000000000000003E-2</v>
      </c>
      <c r="H259" s="224">
        <f t="shared" si="357"/>
        <v>0.27090000000000003</v>
      </c>
      <c r="I259" s="224">
        <f t="shared" si="358"/>
        <v>0.64500000000000002</v>
      </c>
      <c r="J259" s="560">
        <f t="shared" si="324"/>
        <v>50</v>
      </c>
      <c r="K259" s="455">
        <f t="shared" si="325"/>
        <v>13.1</v>
      </c>
      <c r="L259" s="455">
        <f t="shared" si="326"/>
        <v>63.1</v>
      </c>
      <c r="M259" s="455"/>
      <c r="N259" s="224">
        <f t="shared" si="327"/>
        <v>0.20760697305863707</v>
      </c>
      <c r="O259" s="179">
        <f t="shared" si="359"/>
        <v>2.0033341889689962</v>
      </c>
      <c r="P259" s="179">
        <f t="shared" si="360"/>
        <v>4.7698433070690385</v>
      </c>
      <c r="Q259" s="224">
        <f t="shared" si="330"/>
        <v>0.31798955380460259</v>
      </c>
      <c r="R259" s="224">
        <f t="shared" si="361"/>
        <v>0.13355561259793308</v>
      </c>
      <c r="S259" s="224">
        <f t="shared" si="362"/>
        <v>6.3</v>
      </c>
      <c r="T259" s="224">
        <f t="shared" si="363"/>
        <v>0.19607562340966925</v>
      </c>
      <c r="U259" s="224">
        <f t="shared" si="334"/>
        <v>0.21568318575063616</v>
      </c>
      <c r="V259" s="224">
        <f t="shared" si="335"/>
        <v>0.82321826622380223</v>
      </c>
      <c r="W259" s="204">
        <f t="shared" si="336"/>
        <v>350</v>
      </c>
      <c r="X259" s="455">
        <f t="shared" si="337"/>
        <v>350</v>
      </c>
      <c r="Z259" s="224">
        <f t="shared" si="338"/>
        <v>0.539238891061395</v>
      </c>
      <c r="AA259" s="180">
        <f t="shared" si="339"/>
        <v>2.2639800769753222</v>
      </c>
      <c r="AB259" s="180">
        <f t="shared" si="364"/>
        <v>0.1263812940814858</v>
      </c>
      <c r="AC259" s="180"/>
      <c r="AD259" s="180">
        <f t="shared" si="341"/>
        <v>1.217557251908397</v>
      </c>
      <c r="AE259" s="564">
        <f t="shared" si="365"/>
        <v>411.73721245064877</v>
      </c>
      <c r="AF259" s="547">
        <f t="shared" si="366"/>
        <v>3.6552440597785188E-2</v>
      </c>
      <c r="AH259" s="180">
        <f t="shared" si="367"/>
        <v>0.30847761921805861</v>
      </c>
      <c r="AI259" s="180">
        <f t="shared" si="368"/>
        <v>0.30847761921805861</v>
      </c>
      <c r="AJ259" s="180">
        <f t="shared" si="369"/>
        <v>1.2136871253467101</v>
      </c>
      <c r="AL259" s="564">
        <f t="shared" si="370"/>
        <v>43</v>
      </c>
      <c r="AM259" s="473">
        <f t="shared" si="371"/>
        <v>350</v>
      </c>
      <c r="AO259">
        <f t="shared" si="349"/>
        <v>43</v>
      </c>
      <c r="AP259">
        <f t="shared" si="350"/>
        <v>350</v>
      </c>
      <c r="AR259" s="5">
        <f t="shared" si="314"/>
        <v>2.8571428571428572</v>
      </c>
      <c r="AS259" s="5">
        <f t="shared" si="353"/>
        <v>0.33932538113986449</v>
      </c>
      <c r="AT259" s="5">
        <f t="shared" si="354"/>
        <v>2.5178174760029925</v>
      </c>
      <c r="AU259" s="180">
        <f t="shared" si="355"/>
        <v>0.11876388339895257</v>
      </c>
      <c r="CB259" s="582">
        <f t="shared" si="372"/>
        <v>-50</v>
      </c>
    </row>
    <row r="260" spans="5:80" x14ac:dyDescent="0.25">
      <c r="E260" s="177">
        <v>44</v>
      </c>
      <c r="F260" s="224">
        <f t="shared" si="373"/>
        <v>4.4000000000000004E-2</v>
      </c>
      <c r="G260" s="224">
        <f t="shared" si="356"/>
        <v>4.4000000000000004E-2</v>
      </c>
      <c r="H260" s="224">
        <f t="shared" si="357"/>
        <v>0.2772</v>
      </c>
      <c r="I260" s="224">
        <f t="shared" si="358"/>
        <v>0.66</v>
      </c>
      <c r="J260" s="560">
        <f t="shared" si="324"/>
        <v>50</v>
      </c>
      <c r="K260" s="455">
        <f t="shared" si="325"/>
        <v>13.1</v>
      </c>
      <c r="L260" s="455">
        <f t="shared" si="326"/>
        <v>63.1</v>
      </c>
      <c r="M260" s="455"/>
      <c r="N260" s="224">
        <f t="shared" si="327"/>
        <v>0.20760697305863707</v>
      </c>
      <c r="O260" s="179">
        <f t="shared" si="359"/>
        <v>2.0033341889689962</v>
      </c>
      <c r="P260" s="179">
        <f t="shared" si="360"/>
        <v>4.7698433070690385</v>
      </c>
      <c r="Q260" s="224">
        <f t="shared" si="330"/>
        <v>0.31798955380460259</v>
      </c>
      <c r="R260" s="224">
        <f t="shared" si="361"/>
        <v>0.13355561259793308</v>
      </c>
      <c r="S260" s="224">
        <f t="shared" si="362"/>
        <v>6.3</v>
      </c>
      <c r="T260" s="224">
        <f t="shared" si="363"/>
        <v>0.20063552162849876</v>
      </c>
      <c r="U260" s="224">
        <f t="shared" si="334"/>
        <v>0.22069907379134865</v>
      </c>
      <c r="V260" s="224">
        <f t="shared" si="335"/>
        <v>0.84236287706621615</v>
      </c>
      <c r="W260" s="204">
        <f t="shared" si="336"/>
        <v>350</v>
      </c>
      <c r="X260" s="455">
        <f t="shared" si="337"/>
        <v>350</v>
      </c>
      <c r="Z260" s="224">
        <f t="shared" si="338"/>
        <v>0.539238891061395</v>
      </c>
      <c r="AA260" s="180">
        <f t="shared" si="339"/>
        <v>2.2639800769753222</v>
      </c>
      <c r="AB260" s="180">
        <f t="shared" si="364"/>
        <v>0.1263812940814858</v>
      </c>
      <c r="AC260" s="180"/>
      <c r="AD260" s="180">
        <f t="shared" si="341"/>
        <v>1.217557251908397</v>
      </c>
      <c r="AE260" s="564">
        <f t="shared" si="365"/>
        <v>421.31249646112894</v>
      </c>
      <c r="AF260" s="547">
        <f t="shared" si="366"/>
        <v>3.6552440597785188E-2</v>
      </c>
      <c r="AH260" s="180">
        <f t="shared" si="367"/>
        <v>0.31204395294802395</v>
      </c>
      <c r="AI260" s="180">
        <f t="shared" si="368"/>
        <v>0.31204395294802395</v>
      </c>
      <c r="AJ260" s="180">
        <f t="shared" si="369"/>
        <v>1.2163288540355732</v>
      </c>
      <c r="AL260" s="564">
        <f t="shared" si="370"/>
        <v>44.000000000000007</v>
      </c>
      <c r="AM260" s="473">
        <f t="shared" si="371"/>
        <v>350</v>
      </c>
      <c r="AO260">
        <f t="shared" si="349"/>
        <v>44.000000000000007</v>
      </c>
      <c r="AP260">
        <f t="shared" si="350"/>
        <v>350</v>
      </c>
      <c r="AR260" s="5">
        <f t="shared" si="314"/>
        <v>2.8571428571428572</v>
      </c>
      <c r="AS260" s="5">
        <f t="shared" si="353"/>
        <v>0.34324834824282641</v>
      </c>
      <c r="AT260" s="5">
        <f t="shared" si="354"/>
        <v>2.5138945089000306</v>
      </c>
      <c r="AU260" s="180">
        <f t="shared" si="355"/>
        <v>0.12013692188498924</v>
      </c>
      <c r="CB260" s="582">
        <f t="shared" si="372"/>
        <v>-50</v>
      </c>
    </row>
    <row r="261" spans="5:80" x14ac:dyDescent="0.25">
      <c r="E261" s="177">
        <v>45</v>
      </c>
      <c r="F261" s="224">
        <f t="shared" si="373"/>
        <v>4.5000000000000005E-2</v>
      </c>
      <c r="G261" s="224">
        <f t="shared" si="356"/>
        <v>4.5000000000000005E-2</v>
      </c>
      <c r="H261" s="224">
        <f t="shared" si="357"/>
        <v>0.28350000000000003</v>
      </c>
      <c r="I261" s="224">
        <f t="shared" si="358"/>
        <v>0.67500000000000004</v>
      </c>
      <c r="J261" s="560">
        <f t="shared" si="324"/>
        <v>50</v>
      </c>
      <c r="K261" s="455">
        <f t="shared" si="325"/>
        <v>13.1</v>
      </c>
      <c r="L261" s="455">
        <f t="shared" si="326"/>
        <v>63.1</v>
      </c>
      <c r="M261" s="455"/>
      <c r="N261" s="224">
        <f t="shared" si="327"/>
        <v>0.20760697305863707</v>
      </c>
      <c r="O261" s="179">
        <f t="shared" si="359"/>
        <v>2.0033341889689962</v>
      </c>
      <c r="P261" s="179">
        <f t="shared" si="360"/>
        <v>4.7698433070690385</v>
      </c>
      <c r="Q261" s="224">
        <f t="shared" si="330"/>
        <v>0.31798955380460259</v>
      </c>
      <c r="R261" s="224">
        <f t="shared" si="361"/>
        <v>0.13355561259793308</v>
      </c>
      <c r="S261" s="224">
        <f t="shared" si="362"/>
        <v>6.3</v>
      </c>
      <c r="T261" s="224">
        <f t="shared" si="363"/>
        <v>0.20519541984732828</v>
      </c>
      <c r="U261" s="224">
        <f t="shared" si="334"/>
        <v>0.22571496183206113</v>
      </c>
      <c r="V261" s="224">
        <f t="shared" si="335"/>
        <v>0.8615074879086303</v>
      </c>
      <c r="W261" s="204">
        <f t="shared" si="336"/>
        <v>350</v>
      </c>
      <c r="X261" s="455">
        <f t="shared" si="337"/>
        <v>350</v>
      </c>
      <c r="Z261" s="224">
        <f t="shared" si="338"/>
        <v>0.539238891061395</v>
      </c>
      <c r="AA261" s="180">
        <f t="shared" si="339"/>
        <v>2.2639800769753222</v>
      </c>
      <c r="AB261" s="180">
        <f t="shared" si="364"/>
        <v>0.1263812940814858</v>
      </c>
      <c r="AC261" s="180"/>
      <c r="AD261" s="180">
        <f t="shared" si="341"/>
        <v>1.217557251908397</v>
      </c>
      <c r="AE261" s="564">
        <f t="shared" si="365"/>
        <v>430.88778047160923</v>
      </c>
      <c r="AF261" s="547">
        <f t="shared" si="366"/>
        <v>3.6552440597785188E-2</v>
      </c>
      <c r="AH261" s="180">
        <f t="shared" si="367"/>
        <v>0.31556998524006619</v>
      </c>
      <c r="AI261" s="180">
        <f t="shared" si="368"/>
        <v>0.31556998524006619</v>
      </c>
      <c r="AJ261" s="180">
        <f t="shared" si="369"/>
        <v>1.2189407298074564</v>
      </c>
      <c r="AL261" s="564">
        <f t="shared" si="370"/>
        <v>45.000000000000007</v>
      </c>
      <c r="AM261" s="473">
        <f t="shared" si="371"/>
        <v>350</v>
      </c>
      <c r="AO261">
        <f t="shared" si="349"/>
        <v>45.000000000000007</v>
      </c>
      <c r="AP261">
        <f t="shared" si="350"/>
        <v>350</v>
      </c>
      <c r="AR261" s="5">
        <f t="shared" si="314"/>
        <v>2.8571428571428572</v>
      </c>
      <c r="AS261" s="5">
        <f t="shared" si="353"/>
        <v>0.34712698376407281</v>
      </c>
      <c r="AT261" s="5">
        <f t="shared" si="354"/>
        <v>2.5100158733787845</v>
      </c>
      <c r="AU261" s="180">
        <f t="shared" si="355"/>
        <v>0.12149444431742548</v>
      </c>
      <c r="CB261" s="582">
        <f t="shared" si="372"/>
        <v>-50</v>
      </c>
    </row>
    <row r="262" spans="5:80" x14ac:dyDescent="0.25">
      <c r="E262" s="177">
        <v>46</v>
      </c>
      <c r="F262" s="224">
        <f t="shared" si="373"/>
        <v>4.6000000000000006E-2</v>
      </c>
      <c r="G262" s="224">
        <f t="shared" si="356"/>
        <v>4.6000000000000006E-2</v>
      </c>
      <c r="H262" s="224">
        <f t="shared" si="357"/>
        <v>0.28980000000000006</v>
      </c>
      <c r="I262" s="224">
        <f t="shared" si="358"/>
        <v>0.69000000000000006</v>
      </c>
      <c r="J262" s="560">
        <f t="shared" si="324"/>
        <v>50</v>
      </c>
      <c r="K262" s="455">
        <f t="shared" si="325"/>
        <v>13.1</v>
      </c>
      <c r="L262" s="455">
        <f t="shared" si="326"/>
        <v>63.1</v>
      </c>
      <c r="M262" s="455"/>
      <c r="N262" s="224">
        <f t="shared" si="327"/>
        <v>0.20760697305863707</v>
      </c>
      <c r="O262" s="179">
        <f t="shared" si="359"/>
        <v>2.0033341889689962</v>
      </c>
      <c r="P262" s="179">
        <f t="shared" si="360"/>
        <v>4.7698433070690385</v>
      </c>
      <c r="Q262" s="224">
        <f t="shared" si="330"/>
        <v>0.31798955380460259</v>
      </c>
      <c r="R262" s="224">
        <f t="shared" si="361"/>
        <v>0.13355561259793308</v>
      </c>
      <c r="S262" s="224">
        <f t="shared" si="362"/>
        <v>6.3</v>
      </c>
      <c r="T262" s="224">
        <f t="shared" si="363"/>
        <v>0.2097553180661578</v>
      </c>
      <c r="U262" s="224">
        <f t="shared" si="334"/>
        <v>0.23073084987277356</v>
      </c>
      <c r="V262" s="224">
        <f t="shared" si="335"/>
        <v>0.88065209875104433</v>
      </c>
      <c r="W262" s="204">
        <f t="shared" si="336"/>
        <v>350</v>
      </c>
      <c r="X262" s="455">
        <f t="shared" si="337"/>
        <v>350</v>
      </c>
      <c r="Z262" s="224">
        <f t="shared" si="338"/>
        <v>0.539238891061395</v>
      </c>
      <c r="AA262" s="180">
        <f t="shared" si="339"/>
        <v>2.2639800769753222</v>
      </c>
      <c r="AB262" s="180">
        <f t="shared" si="364"/>
        <v>0.1263812940814858</v>
      </c>
      <c r="AC262" s="180"/>
      <c r="AD262" s="180">
        <f t="shared" si="341"/>
        <v>1.217557251908397</v>
      </c>
      <c r="AE262" s="564">
        <f t="shared" si="365"/>
        <v>440.46306448208935</v>
      </c>
      <c r="AF262" s="547">
        <f t="shared" si="366"/>
        <v>3.6552440597785188E-2</v>
      </c>
      <c r="AH262" s="180">
        <f t="shared" si="367"/>
        <v>0.3190570522608811</v>
      </c>
      <c r="AI262" s="180">
        <f t="shared" si="368"/>
        <v>0.3190570522608811</v>
      </c>
      <c r="AJ262" s="180">
        <f t="shared" si="369"/>
        <v>1.2215237424154675</v>
      </c>
      <c r="AL262" s="564">
        <f t="shared" si="370"/>
        <v>46.000000000000007</v>
      </c>
      <c r="AM262" s="473">
        <f t="shared" si="371"/>
        <v>350</v>
      </c>
      <c r="AO262">
        <f t="shared" si="349"/>
        <v>46.000000000000007</v>
      </c>
      <c r="AP262">
        <f t="shared" si="350"/>
        <v>350</v>
      </c>
      <c r="AR262" s="5">
        <f t="shared" si="314"/>
        <v>2.8571428571428572</v>
      </c>
      <c r="AS262" s="5">
        <f t="shared" si="353"/>
        <v>0.35096275748696926</v>
      </c>
      <c r="AT262" s="5">
        <f t="shared" si="354"/>
        <v>2.5061800996558881</v>
      </c>
      <c r="AU262" s="180">
        <f t="shared" si="355"/>
        <v>0.12283696512043923</v>
      </c>
      <c r="CB262" s="582">
        <f t="shared" si="372"/>
        <v>-50</v>
      </c>
    </row>
    <row r="263" spans="5:80" x14ac:dyDescent="0.25">
      <c r="E263" s="177">
        <v>47</v>
      </c>
      <c r="F263" s="224">
        <f t="shared" si="373"/>
        <v>4.7E-2</v>
      </c>
      <c r="G263" s="224">
        <f t="shared" si="356"/>
        <v>4.7E-2</v>
      </c>
      <c r="H263" s="224">
        <f t="shared" si="357"/>
        <v>0.29609999999999997</v>
      </c>
      <c r="I263" s="224">
        <f t="shared" si="358"/>
        <v>0.70499999999999996</v>
      </c>
      <c r="J263" s="560">
        <f t="shared" si="324"/>
        <v>50</v>
      </c>
      <c r="K263" s="455">
        <f t="shared" si="325"/>
        <v>13.1</v>
      </c>
      <c r="L263" s="455">
        <f t="shared" si="326"/>
        <v>63.1</v>
      </c>
      <c r="M263" s="455"/>
      <c r="N263" s="224">
        <f t="shared" si="327"/>
        <v>0.20760697305863707</v>
      </c>
      <c r="O263" s="179">
        <f t="shared" si="359"/>
        <v>2.0033341889689962</v>
      </c>
      <c r="P263" s="179">
        <f t="shared" si="360"/>
        <v>4.7698433070690385</v>
      </c>
      <c r="Q263" s="224">
        <f t="shared" si="330"/>
        <v>0.31798955380460259</v>
      </c>
      <c r="R263" s="224">
        <f t="shared" si="361"/>
        <v>0.13355561259793308</v>
      </c>
      <c r="S263" s="224">
        <f t="shared" si="362"/>
        <v>6.3</v>
      </c>
      <c r="T263" s="224">
        <f t="shared" si="363"/>
        <v>0.21431521628498726</v>
      </c>
      <c r="U263" s="224">
        <f t="shared" si="334"/>
        <v>0.23574673791348602</v>
      </c>
      <c r="V263" s="224">
        <f t="shared" si="335"/>
        <v>0.89979670959345803</v>
      </c>
      <c r="W263" s="204">
        <f t="shared" si="336"/>
        <v>350</v>
      </c>
      <c r="X263" s="455">
        <f t="shared" si="337"/>
        <v>350</v>
      </c>
      <c r="Z263" s="224">
        <f t="shared" si="338"/>
        <v>0.539238891061395</v>
      </c>
      <c r="AA263" s="180">
        <f t="shared" si="339"/>
        <v>2.2639800769753222</v>
      </c>
      <c r="AB263" s="180">
        <f t="shared" si="364"/>
        <v>0.1263812940814858</v>
      </c>
      <c r="AC263" s="180"/>
      <c r="AD263" s="180">
        <f t="shared" si="341"/>
        <v>1.217557251908397</v>
      </c>
      <c r="AE263" s="564">
        <f t="shared" si="365"/>
        <v>450.03834849256953</v>
      </c>
      <c r="AF263" s="547">
        <f t="shared" si="366"/>
        <v>3.6552440597785188E-2</v>
      </c>
      <c r="AH263" s="180">
        <f t="shared" si="367"/>
        <v>0.32250641793674367</v>
      </c>
      <c r="AI263" s="180">
        <f t="shared" si="368"/>
        <v>0.32250641793674367</v>
      </c>
      <c r="AJ263" s="180">
        <f t="shared" si="369"/>
        <v>1.2240788281012915</v>
      </c>
      <c r="AL263" s="564">
        <f t="shared" si="370"/>
        <v>47</v>
      </c>
      <c r="AM263" s="473">
        <f t="shared" si="371"/>
        <v>350</v>
      </c>
      <c r="AO263">
        <f t="shared" si="349"/>
        <v>47</v>
      </c>
      <c r="AP263">
        <f t="shared" si="350"/>
        <v>350</v>
      </c>
      <c r="AR263" s="5">
        <f t="shared" ref="AR263:AR316" si="374">1/AM263*1000</f>
        <v>2.8571428571428572</v>
      </c>
      <c r="AS263" s="5">
        <f t="shared" si="353"/>
        <v>0.35475705973041805</v>
      </c>
      <c r="AT263" s="5">
        <f t="shared" si="354"/>
        <v>2.5023857974124391</v>
      </c>
      <c r="AU263" s="180">
        <f t="shared" si="355"/>
        <v>0.12416497090564631</v>
      </c>
      <c r="CB263" s="582">
        <f t="shared" si="372"/>
        <v>-50</v>
      </c>
    </row>
    <row r="264" spans="5:80" x14ac:dyDescent="0.25">
      <c r="E264" s="177">
        <v>48</v>
      </c>
      <c r="F264" s="224">
        <f t="shared" si="373"/>
        <v>4.8000000000000001E-2</v>
      </c>
      <c r="G264" s="224">
        <f t="shared" si="356"/>
        <v>4.8000000000000001E-2</v>
      </c>
      <c r="H264" s="224">
        <f t="shared" si="357"/>
        <v>0.3024</v>
      </c>
      <c r="I264" s="224">
        <f t="shared" si="358"/>
        <v>0.72</v>
      </c>
      <c r="J264" s="560">
        <f t="shared" si="324"/>
        <v>50</v>
      </c>
      <c r="K264" s="455">
        <f t="shared" si="325"/>
        <v>13.1</v>
      </c>
      <c r="L264" s="455">
        <f t="shared" si="326"/>
        <v>63.1</v>
      </c>
      <c r="M264" s="455"/>
      <c r="N264" s="224">
        <f t="shared" si="327"/>
        <v>0.20760697305863707</v>
      </c>
      <c r="O264" s="179">
        <f t="shared" si="359"/>
        <v>2.0033341889689962</v>
      </c>
      <c r="P264" s="179">
        <f t="shared" si="360"/>
        <v>4.7698433070690385</v>
      </c>
      <c r="Q264" s="224">
        <f t="shared" si="330"/>
        <v>0.31798955380460259</v>
      </c>
      <c r="R264" s="224">
        <f t="shared" si="361"/>
        <v>0.13355561259793308</v>
      </c>
      <c r="S264" s="224">
        <f t="shared" si="362"/>
        <v>6.3</v>
      </c>
      <c r="T264" s="224">
        <f t="shared" si="363"/>
        <v>0.2188751145038168</v>
      </c>
      <c r="U264" s="224">
        <f t="shared" si="334"/>
        <v>0.24076262595419848</v>
      </c>
      <c r="V264" s="224">
        <f t="shared" si="335"/>
        <v>0.91894132043587207</v>
      </c>
      <c r="W264" s="204">
        <f t="shared" si="336"/>
        <v>350</v>
      </c>
      <c r="X264" s="455">
        <f t="shared" si="337"/>
        <v>350</v>
      </c>
      <c r="Z264" s="224">
        <f t="shared" si="338"/>
        <v>0.539238891061395</v>
      </c>
      <c r="AA264" s="180">
        <f t="shared" si="339"/>
        <v>2.2639800769753222</v>
      </c>
      <c r="AB264" s="180">
        <f t="shared" si="364"/>
        <v>0.1263812940814858</v>
      </c>
      <c r="AC264" s="180"/>
      <c r="AD264" s="180">
        <f t="shared" si="341"/>
        <v>1.217557251908397</v>
      </c>
      <c r="AE264" s="564">
        <f t="shared" si="365"/>
        <v>459.6136325030497</v>
      </c>
      <c r="AF264" s="547">
        <f t="shared" si="366"/>
        <v>3.6552440597785188E-2</v>
      </c>
      <c r="AH264" s="180">
        <f t="shared" si="367"/>
        <v>0.32591927930605247</v>
      </c>
      <c r="AI264" s="180">
        <f t="shared" si="368"/>
        <v>0.32591927930605247</v>
      </c>
      <c r="AJ264" s="180">
        <f t="shared" si="369"/>
        <v>1.2266068735600388</v>
      </c>
      <c r="AL264" s="564">
        <f t="shared" si="370"/>
        <v>48</v>
      </c>
      <c r="AM264" s="473">
        <f t="shared" si="371"/>
        <v>350</v>
      </c>
      <c r="AO264">
        <f t="shared" si="349"/>
        <v>48</v>
      </c>
      <c r="AP264">
        <f t="shared" si="350"/>
        <v>350</v>
      </c>
      <c r="AR264" s="5">
        <f t="shared" si="374"/>
        <v>2.8571428571428572</v>
      </c>
      <c r="AS264" s="5">
        <f t="shared" si="353"/>
        <v>0.35851120723665769</v>
      </c>
      <c r="AT264" s="5">
        <f t="shared" si="354"/>
        <v>2.4986316499061996</v>
      </c>
      <c r="AU264" s="180">
        <f t="shared" si="355"/>
        <v>0.12547892253283019</v>
      </c>
      <c r="CB264" s="582">
        <f t="shared" si="372"/>
        <v>-50</v>
      </c>
    </row>
    <row r="265" spans="5:80" x14ac:dyDescent="0.25">
      <c r="E265" s="177">
        <v>49</v>
      </c>
      <c r="F265" s="224">
        <f t="shared" si="373"/>
        <v>4.9000000000000002E-2</v>
      </c>
      <c r="G265" s="224">
        <f t="shared" si="356"/>
        <v>4.9000000000000002E-2</v>
      </c>
      <c r="H265" s="224">
        <f t="shared" si="357"/>
        <v>0.30870000000000003</v>
      </c>
      <c r="I265" s="224">
        <f t="shared" si="358"/>
        <v>0.73499999999999999</v>
      </c>
      <c r="J265" s="560">
        <f t="shared" si="324"/>
        <v>50</v>
      </c>
      <c r="K265" s="455">
        <f t="shared" si="325"/>
        <v>13.1</v>
      </c>
      <c r="L265" s="455">
        <f t="shared" si="326"/>
        <v>63.1</v>
      </c>
      <c r="M265" s="455"/>
      <c r="N265" s="224">
        <f t="shared" si="327"/>
        <v>0.20760697305863707</v>
      </c>
      <c r="O265" s="179">
        <f t="shared" si="359"/>
        <v>2.0033341889689962</v>
      </c>
      <c r="P265" s="179">
        <f t="shared" si="360"/>
        <v>4.7698433070690385</v>
      </c>
      <c r="Q265" s="224">
        <f t="shared" si="330"/>
        <v>0.31798955380460259</v>
      </c>
      <c r="R265" s="224">
        <f t="shared" si="361"/>
        <v>0.13355561259793308</v>
      </c>
      <c r="S265" s="224">
        <f t="shared" si="362"/>
        <v>6.3</v>
      </c>
      <c r="T265" s="224">
        <f t="shared" si="363"/>
        <v>0.22343501272264635</v>
      </c>
      <c r="U265" s="224">
        <f t="shared" si="334"/>
        <v>0.24577851399491099</v>
      </c>
      <c r="V265" s="224">
        <f t="shared" si="335"/>
        <v>0.93808593127828632</v>
      </c>
      <c r="W265" s="204">
        <f t="shared" si="336"/>
        <v>350</v>
      </c>
      <c r="X265" s="455">
        <f t="shared" si="337"/>
        <v>350</v>
      </c>
      <c r="Z265" s="224">
        <f t="shared" si="338"/>
        <v>0.539238891061395</v>
      </c>
      <c r="AA265" s="180">
        <f t="shared" si="339"/>
        <v>2.2639800769753222</v>
      </c>
      <c r="AB265" s="180">
        <f t="shared" si="364"/>
        <v>0.1263812940814858</v>
      </c>
      <c r="AC265" s="180"/>
      <c r="AD265" s="180">
        <f t="shared" si="341"/>
        <v>1.217557251908397</v>
      </c>
      <c r="AE265" s="564">
        <f t="shared" si="365"/>
        <v>469.18891651353005</v>
      </c>
      <c r="AF265" s="547">
        <f t="shared" si="366"/>
        <v>3.6552440597785188E-2</v>
      </c>
      <c r="AH265" s="180">
        <f t="shared" si="367"/>
        <v>0.32929677137251689</v>
      </c>
      <c r="AI265" s="180">
        <f t="shared" si="368"/>
        <v>0.32929677137251689</v>
      </c>
      <c r="AJ265" s="180">
        <f t="shared" si="369"/>
        <v>1.2291087195351977</v>
      </c>
      <c r="AL265" s="564">
        <f t="shared" si="370"/>
        <v>49</v>
      </c>
      <c r="AM265" s="473">
        <f t="shared" si="371"/>
        <v>350</v>
      </c>
      <c r="AO265">
        <f t="shared" si="349"/>
        <v>49</v>
      </c>
      <c r="AP265">
        <f t="shared" si="350"/>
        <v>350</v>
      </c>
      <c r="AR265" s="5">
        <f t="shared" si="374"/>
        <v>2.8571428571428572</v>
      </c>
      <c r="AS265" s="5">
        <f t="shared" si="353"/>
        <v>0.36222644850976865</v>
      </c>
      <c r="AT265" s="5">
        <f t="shared" si="354"/>
        <v>2.4949164086330886</v>
      </c>
      <c r="AU265" s="180">
        <f t="shared" si="355"/>
        <v>0.12677925697841902</v>
      </c>
      <c r="CB265" s="582">
        <f t="shared" si="372"/>
        <v>-50</v>
      </c>
    </row>
    <row r="266" spans="5:80" x14ac:dyDescent="0.25">
      <c r="E266" s="177">
        <v>50</v>
      </c>
      <c r="F266" s="224">
        <f t="shared" si="373"/>
        <v>0.05</v>
      </c>
      <c r="G266" s="224">
        <f t="shared" si="356"/>
        <v>0.05</v>
      </c>
      <c r="H266" s="224">
        <f t="shared" si="357"/>
        <v>0.315</v>
      </c>
      <c r="I266" s="224">
        <f t="shared" si="358"/>
        <v>0.75</v>
      </c>
      <c r="J266" s="560">
        <f t="shared" si="324"/>
        <v>50</v>
      </c>
      <c r="K266" s="455">
        <f t="shared" si="325"/>
        <v>13.1</v>
      </c>
      <c r="L266" s="455">
        <f t="shared" si="326"/>
        <v>63.1</v>
      </c>
      <c r="M266" s="455"/>
      <c r="N266" s="224">
        <f t="shared" si="327"/>
        <v>0.20760697305863707</v>
      </c>
      <c r="O266" s="179">
        <f t="shared" si="359"/>
        <v>2.0033341889689962</v>
      </c>
      <c r="P266" s="179">
        <f t="shared" si="360"/>
        <v>4.7698433070690385</v>
      </c>
      <c r="Q266" s="224">
        <f t="shared" si="330"/>
        <v>0.31798955380460259</v>
      </c>
      <c r="R266" s="224">
        <f t="shared" si="361"/>
        <v>0.13355561259793308</v>
      </c>
      <c r="S266" s="224">
        <f t="shared" si="362"/>
        <v>6.3</v>
      </c>
      <c r="T266" s="224">
        <f t="shared" si="363"/>
        <v>0.22799491094147584</v>
      </c>
      <c r="U266" s="224">
        <f t="shared" si="334"/>
        <v>0.25079440203562348</v>
      </c>
      <c r="V266" s="224">
        <f t="shared" si="335"/>
        <v>0.95723054212070025</v>
      </c>
      <c r="W266" s="204">
        <f t="shared" si="336"/>
        <v>350</v>
      </c>
      <c r="X266" s="455">
        <f t="shared" si="337"/>
        <v>350</v>
      </c>
      <c r="Z266" s="224">
        <f t="shared" si="338"/>
        <v>0.539238891061395</v>
      </c>
      <c r="AA266" s="180">
        <f t="shared" si="339"/>
        <v>2.2639800769753222</v>
      </c>
      <c r="AB266" s="180">
        <f t="shared" si="364"/>
        <v>0.1263812940814858</v>
      </c>
      <c r="AC266" s="180"/>
      <c r="AD266" s="180">
        <f t="shared" si="341"/>
        <v>1.217557251908397</v>
      </c>
      <c r="AE266" s="564">
        <f t="shared" si="365"/>
        <v>478.76420052401016</v>
      </c>
      <c r="AF266" s="547">
        <f t="shared" si="366"/>
        <v>3.6552440597785188E-2</v>
      </c>
      <c r="AH266" s="180">
        <f t="shared" si="367"/>
        <v>0.33263997151477548</v>
      </c>
      <c r="AI266" s="180">
        <f t="shared" si="368"/>
        <v>0.33263997151477548</v>
      </c>
      <c r="AJ266" s="180">
        <f t="shared" si="369"/>
        <v>1.2315851640850188</v>
      </c>
      <c r="AL266" s="564">
        <f t="shared" si="370"/>
        <v>50</v>
      </c>
      <c r="AM266" s="473">
        <f t="shared" si="371"/>
        <v>350</v>
      </c>
      <c r="AO266">
        <f t="shared" si="349"/>
        <v>50</v>
      </c>
      <c r="AP266">
        <f t="shared" si="350"/>
        <v>350</v>
      </c>
      <c r="AR266" s="5">
        <f t="shared" si="374"/>
        <v>2.8571428571428572</v>
      </c>
      <c r="AS266" s="5">
        <f t="shared" si="353"/>
        <v>0.36590396866625302</v>
      </c>
      <c r="AT266" s="5">
        <f t="shared" si="354"/>
        <v>2.4912388884766044</v>
      </c>
      <c r="AU266" s="180">
        <f t="shared" si="355"/>
        <v>0.12806638903318857</v>
      </c>
      <c r="CB266" s="582">
        <f t="shared" si="372"/>
        <v>-50</v>
      </c>
    </row>
    <row r="267" spans="5:80" x14ac:dyDescent="0.25">
      <c r="E267" s="177">
        <v>51</v>
      </c>
      <c r="F267" s="224">
        <f t="shared" si="373"/>
        <v>5.1000000000000004E-2</v>
      </c>
      <c r="G267" s="224">
        <f t="shared" si="356"/>
        <v>5.1000000000000004E-2</v>
      </c>
      <c r="H267" s="224">
        <f t="shared" si="357"/>
        <v>0.32130000000000003</v>
      </c>
      <c r="I267" s="224">
        <f t="shared" si="358"/>
        <v>0.76500000000000001</v>
      </c>
      <c r="J267" s="560">
        <f t="shared" si="324"/>
        <v>50</v>
      </c>
      <c r="K267" s="455">
        <f t="shared" si="325"/>
        <v>13.1</v>
      </c>
      <c r="L267" s="455">
        <f t="shared" si="326"/>
        <v>63.1</v>
      </c>
      <c r="M267" s="455"/>
      <c r="N267" s="224">
        <f t="shared" si="327"/>
        <v>0.20760697305863707</v>
      </c>
      <c r="O267" s="179">
        <f t="shared" si="359"/>
        <v>2.0033341889689962</v>
      </c>
      <c r="P267" s="179">
        <f t="shared" si="360"/>
        <v>4.7698433070690385</v>
      </c>
      <c r="Q267" s="224">
        <f t="shared" si="330"/>
        <v>0.31798955380460259</v>
      </c>
      <c r="R267" s="224">
        <f t="shared" si="361"/>
        <v>0.13355561259793308</v>
      </c>
      <c r="S267" s="224">
        <f t="shared" si="362"/>
        <v>6.3</v>
      </c>
      <c r="T267" s="224">
        <f t="shared" si="363"/>
        <v>0.23255480916030538</v>
      </c>
      <c r="U267" s="224">
        <f t="shared" si="334"/>
        <v>0.25581029007633593</v>
      </c>
      <c r="V267" s="224">
        <f t="shared" si="335"/>
        <v>0.97637515296311428</v>
      </c>
      <c r="W267" s="204">
        <f t="shared" si="336"/>
        <v>350</v>
      </c>
      <c r="X267" s="455">
        <f t="shared" si="337"/>
        <v>350</v>
      </c>
      <c r="Z267" s="224">
        <f t="shared" si="338"/>
        <v>0.539238891061395</v>
      </c>
      <c r="AA267" s="180">
        <f t="shared" si="339"/>
        <v>2.2639800769753222</v>
      </c>
      <c r="AB267" s="180">
        <f t="shared" si="364"/>
        <v>0.1263812940814858</v>
      </c>
      <c r="AC267" s="180"/>
      <c r="AD267" s="180">
        <f t="shared" si="341"/>
        <v>1.217557251908397</v>
      </c>
      <c r="AE267" s="564">
        <f t="shared" si="365"/>
        <v>488.3394845344904</v>
      </c>
      <c r="AF267" s="547">
        <f t="shared" si="366"/>
        <v>3.6552440597785188E-2</v>
      </c>
      <c r="AH267" s="180">
        <f t="shared" si="367"/>
        <v>0.33594990350100962</v>
      </c>
      <c r="AI267" s="180">
        <f t="shared" si="368"/>
        <v>0.33594990350100962</v>
      </c>
      <c r="AJ267" s="180">
        <f t="shared" si="369"/>
        <v>1.2340369655563035</v>
      </c>
      <c r="AL267" s="564">
        <f t="shared" si="370"/>
        <v>51.000000000000007</v>
      </c>
      <c r="AM267" s="473">
        <f t="shared" si="371"/>
        <v>350</v>
      </c>
      <c r="AO267">
        <f t="shared" si="349"/>
        <v>51.000000000000007</v>
      </c>
      <c r="AP267">
        <f t="shared" si="350"/>
        <v>350</v>
      </c>
      <c r="AR267" s="5">
        <f t="shared" si="374"/>
        <v>2.8571428571428572</v>
      </c>
      <c r="AS267" s="5">
        <f t="shared" si="353"/>
        <v>0.36954489385111061</v>
      </c>
      <c r="AT267" s="5">
        <f t="shared" si="354"/>
        <v>2.4875979632917464</v>
      </c>
      <c r="AU267" s="180">
        <f t="shared" si="355"/>
        <v>0.1293407128478887</v>
      </c>
      <c r="CB267" s="582">
        <f t="shared" si="372"/>
        <v>-50</v>
      </c>
    </row>
    <row r="268" spans="5:80" x14ac:dyDescent="0.25">
      <c r="E268" s="177">
        <v>52</v>
      </c>
      <c r="F268" s="224">
        <f t="shared" si="373"/>
        <v>5.2000000000000005E-2</v>
      </c>
      <c r="G268" s="224">
        <f t="shared" si="356"/>
        <v>5.2000000000000005E-2</v>
      </c>
      <c r="H268" s="224">
        <f t="shared" si="357"/>
        <v>0.3276</v>
      </c>
      <c r="I268" s="224">
        <f t="shared" si="358"/>
        <v>0.78</v>
      </c>
      <c r="J268" s="560">
        <f t="shared" si="324"/>
        <v>50</v>
      </c>
      <c r="K268" s="455">
        <f t="shared" si="325"/>
        <v>13.1</v>
      </c>
      <c r="L268" s="455">
        <f t="shared" si="326"/>
        <v>63.1</v>
      </c>
      <c r="M268" s="455"/>
      <c r="N268" s="224">
        <f t="shared" si="327"/>
        <v>0.20760697305863707</v>
      </c>
      <c r="O268" s="179">
        <f t="shared" si="359"/>
        <v>2.0033341889689962</v>
      </c>
      <c r="P268" s="179">
        <f t="shared" si="360"/>
        <v>4.7698433070690385</v>
      </c>
      <c r="Q268" s="224">
        <f t="shared" si="330"/>
        <v>0.31798955380460259</v>
      </c>
      <c r="R268" s="224">
        <f t="shared" si="361"/>
        <v>0.13355561259793308</v>
      </c>
      <c r="S268" s="224">
        <f t="shared" si="362"/>
        <v>6.3</v>
      </c>
      <c r="T268" s="224">
        <f t="shared" si="363"/>
        <v>0.2371147073791349</v>
      </c>
      <c r="U268" s="224">
        <f t="shared" si="334"/>
        <v>0.26082617811704839</v>
      </c>
      <c r="V268" s="224">
        <f t="shared" si="335"/>
        <v>0.9955197638055282</v>
      </c>
      <c r="W268" s="204">
        <f t="shared" si="336"/>
        <v>350</v>
      </c>
      <c r="X268" s="455">
        <f t="shared" si="337"/>
        <v>350</v>
      </c>
      <c r="Z268" s="224">
        <f t="shared" si="338"/>
        <v>0.539238891061395</v>
      </c>
      <c r="AA268" s="180">
        <f t="shared" si="339"/>
        <v>2.2639800769753222</v>
      </c>
      <c r="AB268" s="180">
        <f t="shared" si="364"/>
        <v>0.1263812940814858</v>
      </c>
      <c r="AC268" s="180"/>
      <c r="AD268" s="180">
        <f t="shared" si="341"/>
        <v>1.217557251908397</v>
      </c>
      <c r="AE268" s="564">
        <f t="shared" si="365"/>
        <v>497.91476854497063</v>
      </c>
      <c r="AF268" s="547">
        <f t="shared" si="366"/>
        <v>3.6552440597785188E-2</v>
      </c>
      <c r="AH268" s="180">
        <f t="shared" si="367"/>
        <v>0.33922754115095771</v>
      </c>
      <c r="AI268" s="180">
        <f t="shared" si="368"/>
        <v>0.33922754115095771</v>
      </c>
      <c r="AJ268" s="180">
        <f t="shared" si="369"/>
        <v>1.2364648452970057</v>
      </c>
      <c r="AL268" s="564">
        <f t="shared" si="370"/>
        <v>52.000000000000007</v>
      </c>
      <c r="AM268" s="473">
        <f t="shared" si="371"/>
        <v>350</v>
      </c>
      <c r="AO268">
        <f t="shared" si="349"/>
        <v>52.000000000000007</v>
      </c>
      <c r="AP268">
        <f t="shared" si="350"/>
        <v>350</v>
      </c>
      <c r="AR268" s="5">
        <f t="shared" si="374"/>
        <v>2.8571428571428572</v>
      </c>
      <c r="AS268" s="5">
        <f t="shared" si="353"/>
        <v>0.37315029526605348</v>
      </c>
      <c r="AT268" s="5">
        <f t="shared" si="354"/>
        <v>2.4839925618768035</v>
      </c>
      <c r="AU268" s="180">
        <f t="shared" si="355"/>
        <v>0.13060260334311871</v>
      </c>
      <c r="CB268" s="582">
        <f t="shared" si="372"/>
        <v>-50</v>
      </c>
    </row>
    <row r="269" spans="5:80" x14ac:dyDescent="0.25">
      <c r="E269" s="177">
        <v>53</v>
      </c>
      <c r="F269" s="224">
        <f t="shared" si="373"/>
        <v>5.3000000000000005E-2</v>
      </c>
      <c r="G269" s="224">
        <f t="shared" si="356"/>
        <v>5.3000000000000005E-2</v>
      </c>
      <c r="H269" s="224">
        <f t="shared" si="357"/>
        <v>0.33390000000000003</v>
      </c>
      <c r="I269" s="224">
        <f t="shared" si="358"/>
        <v>0.79500000000000004</v>
      </c>
      <c r="J269" s="560">
        <f t="shared" si="324"/>
        <v>50</v>
      </c>
      <c r="K269" s="455">
        <f t="shared" si="325"/>
        <v>13.1</v>
      </c>
      <c r="L269" s="455">
        <f t="shared" si="326"/>
        <v>63.1</v>
      </c>
      <c r="M269" s="455"/>
      <c r="N269" s="224">
        <f t="shared" si="327"/>
        <v>0.20760697305863707</v>
      </c>
      <c r="O269" s="179">
        <f t="shared" si="359"/>
        <v>2.0033341889689962</v>
      </c>
      <c r="P269" s="179">
        <f t="shared" si="360"/>
        <v>4.7698433070690385</v>
      </c>
      <c r="Q269" s="224">
        <f t="shared" si="330"/>
        <v>0.31798955380460259</v>
      </c>
      <c r="R269" s="224">
        <f t="shared" si="361"/>
        <v>0.13355561259793308</v>
      </c>
      <c r="S269" s="224">
        <f t="shared" si="362"/>
        <v>6.3</v>
      </c>
      <c r="T269" s="224">
        <f t="shared" si="363"/>
        <v>0.24167460559796441</v>
      </c>
      <c r="U269" s="224">
        <f t="shared" si="334"/>
        <v>0.26584206615776085</v>
      </c>
      <c r="V269" s="224">
        <f t="shared" si="335"/>
        <v>1.0146643746479422</v>
      </c>
      <c r="W269" s="204">
        <f t="shared" si="336"/>
        <v>350</v>
      </c>
      <c r="X269" s="455">
        <f t="shared" si="337"/>
        <v>350</v>
      </c>
      <c r="Z269" s="224">
        <f t="shared" si="338"/>
        <v>0.539238891061395</v>
      </c>
      <c r="AA269" s="180">
        <f t="shared" si="339"/>
        <v>2.2639800769753222</v>
      </c>
      <c r="AB269" s="180">
        <f t="shared" si="364"/>
        <v>0.1263812940814858</v>
      </c>
      <c r="AC269" s="180"/>
      <c r="AD269" s="180">
        <f t="shared" si="341"/>
        <v>1.217557251908397</v>
      </c>
      <c r="AE269" s="564">
        <f t="shared" si="365"/>
        <v>507.4900525554508</v>
      </c>
      <c r="AF269" s="547">
        <f t="shared" si="366"/>
        <v>3.6552440597785188E-2</v>
      </c>
      <c r="AH269" s="180">
        <f t="shared" si="367"/>
        <v>0.342473811682458</v>
      </c>
      <c r="AI269" s="180">
        <f t="shared" si="368"/>
        <v>0.342473811682458</v>
      </c>
      <c r="AJ269" s="180">
        <f t="shared" si="369"/>
        <v>1.238869490135154</v>
      </c>
      <c r="AL269" s="564">
        <f t="shared" si="370"/>
        <v>53.000000000000007</v>
      </c>
      <c r="AM269" s="473">
        <f t="shared" si="371"/>
        <v>350</v>
      </c>
      <c r="AO269">
        <f t="shared" si="349"/>
        <v>53.000000000000007</v>
      </c>
      <c r="AP269">
        <f t="shared" si="350"/>
        <v>350</v>
      </c>
      <c r="AR269" s="5">
        <f t="shared" si="374"/>
        <v>2.8571428571428572</v>
      </c>
      <c r="AS269" s="5">
        <f t="shared" si="353"/>
        <v>0.37672119285070382</v>
      </c>
      <c r="AT269" s="5">
        <f t="shared" si="354"/>
        <v>2.4804216642921535</v>
      </c>
      <c r="AU269" s="180">
        <f t="shared" si="355"/>
        <v>0.13185241749774634</v>
      </c>
      <c r="CB269" s="582">
        <f t="shared" si="372"/>
        <v>-50</v>
      </c>
    </row>
    <row r="270" spans="5:80" x14ac:dyDescent="0.25">
      <c r="E270" s="177">
        <v>54</v>
      </c>
      <c r="F270" s="224">
        <f t="shared" si="373"/>
        <v>5.4000000000000006E-2</v>
      </c>
      <c r="G270" s="224">
        <f t="shared" si="356"/>
        <v>5.4000000000000006E-2</v>
      </c>
      <c r="H270" s="224">
        <f t="shared" si="357"/>
        <v>0.34020000000000006</v>
      </c>
      <c r="I270" s="224">
        <f t="shared" si="358"/>
        <v>0.81</v>
      </c>
      <c r="J270" s="560">
        <f t="shared" si="324"/>
        <v>50</v>
      </c>
      <c r="K270" s="455">
        <f t="shared" si="325"/>
        <v>13.1</v>
      </c>
      <c r="L270" s="455">
        <f t="shared" si="326"/>
        <v>63.1</v>
      </c>
      <c r="M270" s="455"/>
      <c r="N270" s="224">
        <f t="shared" si="327"/>
        <v>0.20760697305863707</v>
      </c>
      <c r="O270" s="179">
        <f t="shared" si="359"/>
        <v>2.0033341889689962</v>
      </c>
      <c r="P270" s="179">
        <f t="shared" si="360"/>
        <v>4.7698433070690385</v>
      </c>
      <c r="Q270" s="224">
        <f t="shared" si="330"/>
        <v>0.31798955380460259</v>
      </c>
      <c r="R270" s="224">
        <f t="shared" si="361"/>
        <v>0.13355561259793308</v>
      </c>
      <c r="S270" s="224">
        <f t="shared" si="362"/>
        <v>6.3</v>
      </c>
      <c r="T270" s="224">
        <f t="shared" si="363"/>
        <v>0.24623450381679393</v>
      </c>
      <c r="U270" s="224">
        <f t="shared" si="334"/>
        <v>0.27085795419847336</v>
      </c>
      <c r="V270" s="224">
        <f t="shared" si="335"/>
        <v>1.0338089854903563</v>
      </c>
      <c r="W270" s="204">
        <f t="shared" si="336"/>
        <v>350</v>
      </c>
      <c r="X270" s="455">
        <f t="shared" si="337"/>
        <v>350</v>
      </c>
      <c r="Z270" s="224">
        <f t="shared" si="338"/>
        <v>0.539238891061395</v>
      </c>
      <c r="AA270" s="180">
        <f t="shared" si="339"/>
        <v>2.2639800769753222</v>
      </c>
      <c r="AB270" s="180">
        <f t="shared" si="364"/>
        <v>0.1263812940814858</v>
      </c>
      <c r="AC270" s="180"/>
      <c r="AD270" s="180">
        <f t="shared" si="341"/>
        <v>1.217557251908397</v>
      </c>
      <c r="AE270" s="564">
        <f t="shared" si="365"/>
        <v>517.06533656593103</v>
      </c>
      <c r="AF270" s="547">
        <f t="shared" si="366"/>
        <v>3.6552440597785188E-2</v>
      </c>
      <c r="AH270" s="180">
        <f t="shared" si="367"/>
        <v>0.34568959877511318</v>
      </c>
      <c r="AI270" s="180">
        <f t="shared" si="368"/>
        <v>0.34568959877511318</v>
      </c>
      <c r="AJ270" s="180">
        <f t="shared" si="369"/>
        <v>1.2412515546482319</v>
      </c>
      <c r="AL270" s="564">
        <f t="shared" si="370"/>
        <v>54.000000000000007</v>
      </c>
      <c r="AM270" s="473">
        <f t="shared" si="371"/>
        <v>350</v>
      </c>
      <c r="AO270">
        <f t="shared" si="349"/>
        <v>54.000000000000007</v>
      </c>
      <c r="AP270">
        <f t="shared" si="350"/>
        <v>350</v>
      </c>
      <c r="AR270" s="5">
        <f t="shared" si="374"/>
        <v>2.8571428571428572</v>
      </c>
      <c r="AS270" s="5">
        <f t="shared" si="353"/>
        <v>0.38025855865262453</v>
      </c>
      <c r="AT270" s="5">
        <f t="shared" si="354"/>
        <v>2.4768842984902326</v>
      </c>
      <c r="AU270" s="180">
        <f t="shared" si="355"/>
        <v>0.13309049552841859</v>
      </c>
      <c r="CB270" s="582">
        <f t="shared" si="372"/>
        <v>-50</v>
      </c>
    </row>
    <row r="271" spans="5:80" x14ac:dyDescent="0.25">
      <c r="E271" s="177">
        <v>55</v>
      </c>
      <c r="F271" s="224">
        <f t="shared" si="373"/>
        <v>5.5000000000000007E-2</v>
      </c>
      <c r="G271" s="224">
        <f t="shared" si="356"/>
        <v>5.5000000000000007E-2</v>
      </c>
      <c r="H271" s="224">
        <f t="shared" si="357"/>
        <v>0.34650000000000003</v>
      </c>
      <c r="I271" s="224">
        <f t="shared" si="358"/>
        <v>0.82500000000000007</v>
      </c>
      <c r="J271" s="560">
        <f t="shared" si="324"/>
        <v>50</v>
      </c>
      <c r="K271" s="455">
        <f t="shared" si="325"/>
        <v>13.1</v>
      </c>
      <c r="L271" s="455">
        <f t="shared" si="326"/>
        <v>63.1</v>
      </c>
      <c r="M271" s="455"/>
      <c r="N271" s="224">
        <f t="shared" si="327"/>
        <v>0.20760697305863707</v>
      </c>
      <c r="O271" s="179">
        <f t="shared" si="359"/>
        <v>2.0033341889689962</v>
      </c>
      <c r="P271" s="179">
        <f t="shared" si="360"/>
        <v>4.7698433070690385</v>
      </c>
      <c r="Q271" s="224">
        <f t="shared" si="330"/>
        <v>0.31798955380460259</v>
      </c>
      <c r="R271" s="224">
        <f t="shared" si="361"/>
        <v>0.13355561259793308</v>
      </c>
      <c r="S271" s="224">
        <f t="shared" si="362"/>
        <v>6.3</v>
      </c>
      <c r="T271" s="224">
        <f t="shared" si="363"/>
        <v>0.25079440203562342</v>
      </c>
      <c r="U271" s="224">
        <f t="shared" si="334"/>
        <v>0.27587384223918576</v>
      </c>
      <c r="V271" s="224">
        <f t="shared" si="335"/>
        <v>1.0529535963327701</v>
      </c>
      <c r="W271" s="204">
        <f t="shared" si="336"/>
        <v>350</v>
      </c>
      <c r="X271" s="455">
        <f t="shared" si="337"/>
        <v>350</v>
      </c>
      <c r="Z271" s="224">
        <f t="shared" si="338"/>
        <v>0.539238891061395</v>
      </c>
      <c r="AA271" s="180">
        <f t="shared" si="339"/>
        <v>2.2639800769753222</v>
      </c>
      <c r="AB271" s="180">
        <f t="shared" si="364"/>
        <v>0.1263812940814858</v>
      </c>
      <c r="AC271" s="180"/>
      <c r="AD271" s="180">
        <f t="shared" si="341"/>
        <v>1.217557251908397</v>
      </c>
      <c r="AE271" s="564">
        <f t="shared" si="365"/>
        <v>526.64062057641127</v>
      </c>
      <c r="AF271" s="547">
        <f t="shared" si="366"/>
        <v>3.6552440597785188E-2</v>
      </c>
      <c r="AH271" s="180">
        <f t="shared" si="367"/>
        <v>0.34887574537976374</v>
      </c>
      <c r="AI271" s="180">
        <f t="shared" si="368"/>
        <v>0.34887574537976374</v>
      </c>
      <c r="AJ271" s="180">
        <f t="shared" si="369"/>
        <v>1.2436116632442693</v>
      </c>
      <c r="AL271" s="564">
        <f t="shared" si="370"/>
        <v>55.000000000000007</v>
      </c>
      <c r="AM271" s="473">
        <f t="shared" si="371"/>
        <v>350</v>
      </c>
      <c r="AO271">
        <f t="shared" si="349"/>
        <v>55.000000000000007</v>
      </c>
      <c r="AP271">
        <f t="shared" si="350"/>
        <v>350</v>
      </c>
      <c r="AR271" s="5">
        <f t="shared" si="374"/>
        <v>2.8571428571428572</v>
      </c>
      <c r="AS271" s="5">
        <f t="shared" si="353"/>
        <v>0.3837633199177401</v>
      </c>
      <c r="AT271" s="5">
        <f t="shared" si="354"/>
        <v>2.4733795372251173</v>
      </c>
      <c r="AU271" s="180">
        <f t="shared" si="355"/>
        <v>0.13431716197120902</v>
      </c>
      <c r="CB271" s="582">
        <f t="shared" si="372"/>
        <v>-50</v>
      </c>
    </row>
    <row r="272" spans="5:80" x14ac:dyDescent="0.25">
      <c r="E272" s="177">
        <v>56</v>
      </c>
      <c r="F272" s="224">
        <f t="shared" si="373"/>
        <v>5.6000000000000008E-2</v>
      </c>
      <c r="G272" s="224">
        <f t="shared" si="356"/>
        <v>5.6000000000000008E-2</v>
      </c>
      <c r="H272" s="224">
        <f t="shared" si="357"/>
        <v>0.35280000000000006</v>
      </c>
      <c r="I272" s="224">
        <f t="shared" si="358"/>
        <v>0.84000000000000008</v>
      </c>
      <c r="J272" s="560">
        <f t="shared" si="324"/>
        <v>50</v>
      </c>
      <c r="K272" s="455">
        <f t="shared" si="325"/>
        <v>13.1</v>
      </c>
      <c r="L272" s="455">
        <f t="shared" si="326"/>
        <v>63.1</v>
      </c>
      <c r="M272" s="455"/>
      <c r="N272" s="224">
        <f t="shared" si="327"/>
        <v>0.20760697305863707</v>
      </c>
      <c r="O272" s="179">
        <f t="shared" si="359"/>
        <v>2.0033341889689962</v>
      </c>
      <c r="P272" s="179">
        <f t="shared" si="360"/>
        <v>4.7698433070690385</v>
      </c>
      <c r="Q272" s="224">
        <f t="shared" si="330"/>
        <v>0.31798955380460259</v>
      </c>
      <c r="R272" s="224">
        <f t="shared" si="361"/>
        <v>0.13355561259793308</v>
      </c>
      <c r="S272" s="224">
        <f t="shared" si="362"/>
        <v>6.3</v>
      </c>
      <c r="T272" s="224">
        <f t="shared" si="363"/>
        <v>0.25535430025445299</v>
      </c>
      <c r="U272" s="224">
        <f t="shared" si="334"/>
        <v>0.28088973027989828</v>
      </c>
      <c r="V272" s="224">
        <f t="shared" si="335"/>
        <v>1.0720982071751843</v>
      </c>
      <c r="W272" s="204">
        <f t="shared" si="336"/>
        <v>350</v>
      </c>
      <c r="X272" s="455">
        <f t="shared" si="337"/>
        <v>350</v>
      </c>
      <c r="Z272" s="224">
        <f t="shared" si="338"/>
        <v>0.539238891061395</v>
      </c>
      <c r="AA272" s="180">
        <f t="shared" si="339"/>
        <v>2.2639800769753222</v>
      </c>
      <c r="AB272" s="180">
        <f t="shared" si="364"/>
        <v>0.1263812940814858</v>
      </c>
      <c r="AC272" s="180"/>
      <c r="AD272" s="180">
        <f t="shared" si="341"/>
        <v>1.217557251908397</v>
      </c>
      <c r="AE272" s="564">
        <f t="shared" si="365"/>
        <v>536.2159045868915</v>
      </c>
      <c r="AF272" s="547">
        <f t="shared" si="366"/>
        <v>3.6552440597785188E-2</v>
      </c>
      <c r="AH272" s="180">
        <f t="shared" si="367"/>
        <v>0.35203305629908216</v>
      </c>
      <c r="AI272" s="180">
        <f t="shared" si="368"/>
        <v>0.35203305629908216</v>
      </c>
      <c r="AJ272" s="180">
        <f t="shared" si="369"/>
        <v>1.2459504120733942</v>
      </c>
      <c r="AL272" s="564">
        <f t="shared" si="370"/>
        <v>56.000000000000007</v>
      </c>
      <c r="AM272" s="473">
        <f t="shared" si="371"/>
        <v>350</v>
      </c>
      <c r="AO272">
        <f t="shared" si="349"/>
        <v>56.000000000000007</v>
      </c>
      <c r="AP272">
        <f t="shared" si="350"/>
        <v>350</v>
      </c>
      <c r="AR272" s="5">
        <f t="shared" si="374"/>
        <v>2.8571428571428572</v>
      </c>
      <c r="AS272" s="5">
        <f t="shared" si="353"/>
        <v>0.38723636192899036</v>
      </c>
      <c r="AT272" s="5">
        <f t="shared" si="354"/>
        <v>2.4699064952138667</v>
      </c>
      <c r="AU272" s="180">
        <f t="shared" si="355"/>
        <v>0.13553272667514663</v>
      </c>
      <c r="CB272" s="582">
        <f t="shared" si="372"/>
        <v>-50</v>
      </c>
    </row>
    <row r="273" spans="5:80" x14ac:dyDescent="0.25">
      <c r="E273" s="177">
        <v>57</v>
      </c>
      <c r="F273" s="224">
        <f t="shared" si="373"/>
        <v>5.6999999999999995E-2</v>
      </c>
      <c r="G273" s="224">
        <f t="shared" si="356"/>
        <v>5.6999999999999995E-2</v>
      </c>
      <c r="H273" s="224">
        <f t="shared" si="357"/>
        <v>0.35909999999999997</v>
      </c>
      <c r="I273" s="224">
        <f t="shared" si="358"/>
        <v>0.85499999999999998</v>
      </c>
      <c r="J273" s="560">
        <f t="shared" si="324"/>
        <v>50</v>
      </c>
      <c r="K273" s="455">
        <f t="shared" si="325"/>
        <v>13.1</v>
      </c>
      <c r="L273" s="455">
        <f t="shared" si="326"/>
        <v>63.1</v>
      </c>
      <c r="M273" s="455"/>
      <c r="N273" s="224">
        <f t="shared" si="327"/>
        <v>0.20760697305863707</v>
      </c>
      <c r="O273" s="179">
        <f t="shared" si="359"/>
        <v>2.0033341889689962</v>
      </c>
      <c r="P273" s="179">
        <f t="shared" si="360"/>
        <v>4.7698433070690385</v>
      </c>
      <c r="Q273" s="224">
        <f t="shared" si="330"/>
        <v>0.31798955380460259</v>
      </c>
      <c r="R273" s="224">
        <f t="shared" si="361"/>
        <v>0.13355561259793308</v>
      </c>
      <c r="S273" s="224">
        <f t="shared" si="362"/>
        <v>6.3</v>
      </c>
      <c r="T273" s="224">
        <f t="shared" si="363"/>
        <v>0.25991419847328245</v>
      </c>
      <c r="U273" s="224">
        <f t="shared" si="334"/>
        <v>0.28590561832061068</v>
      </c>
      <c r="V273" s="224">
        <f t="shared" si="335"/>
        <v>1.0912428180175981</v>
      </c>
      <c r="W273" s="204">
        <f t="shared" si="336"/>
        <v>350</v>
      </c>
      <c r="X273" s="455">
        <f t="shared" si="337"/>
        <v>350</v>
      </c>
      <c r="Z273" s="224">
        <f t="shared" si="338"/>
        <v>0.539238891061395</v>
      </c>
      <c r="AA273" s="180">
        <f t="shared" si="339"/>
        <v>2.2639800769753222</v>
      </c>
      <c r="AB273" s="180">
        <f t="shared" si="364"/>
        <v>0.1263812940814858</v>
      </c>
      <c r="AC273" s="180"/>
      <c r="AD273" s="180">
        <f t="shared" si="341"/>
        <v>1.217557251908397</v>
      </c>
      <c r="AE273" s="564">
        <f t="shared" si="365"/>
        <v>545.7911885973715</v>
      </c>
      <c r="AF273" s="547">
        <f t="shared" si="366"/>
        <v>3.6552440597785188E-2</v>
      </c>
      <c r="AH273" s="180">
        <f t="shared" si="367"/>
        <v>0.35516230056167242</v>
      </c>
      <c r="AI273" s="180">
        <f t="shared" si="368"/>
        <v>0.35516230056167242</v>
      </c>
      <c r="AJ273" s="180">
        <f t="shared" si="369"/>
        <v>1.2482683707864239</v>
      </c>
      <c r="AL273" s="564">
        <f t="shared" si="370"/>
        <v>56.999999999999993</v>
      </c>
      <c r="AM273" s="473">
        <f t="shared" si="371"/>
        <v>350</v>
      </c>
      <c r="AO273">
        <f t="shared" si="349"/>
        <v>56.999999999999993</v>
      </c>
      <c r="AP273">
        <f t="shared" si="350"/>
        <v>350</v>
      </c>
      <c r="AR273" s="5">
        <f t="shared" si="374"/>
        <v>2.8571428571428572</v>
      </c>
      <c r="AS273" s="5">
        <f t="shared" si="353"/>
        <v>0.39067853061783969</v>
      </c>
      <c r="AT273" s="5">
        <f t="shared" si="354"/>
        <v>2.4664643265250175</v>
      </c>
      <c r="AU273" s="180">
        <f t="shared" si="355"/>
        <v>0.13673748571624389</v>
      </c>
      <c r="CB273" s="582">
        <f t="shared" si="372"/>
        <v>-50</v>
      </c>
    </row>
    <row r="274" spans="5:80" x14ac:dyDescent="0.25">
      <c r="E274" s="177">
        <v>58</v>
      </c>
      <c r="F274" s="224">
        <f t="shared" si="373"/>
        <v>5.7999999999999996E-2</v>
      </c>
      <c r="G274" s="224">
        <f t="shared" si="356"/>
        <v>5.7999999999999996E-2</v>
      </c>
      <c r="H274" s="224">
        <f t="shared" si="357"/>
        <v>0.36539999999999995</v>
      </c>
      <c r="I274" s="224">
        <f t="shared" si="358"/>
        <v>0.86999999999999988</v>
      </c>
      <c r="J274" s="560">
        <f t="shared" si="324"/>
        <v>50</v>
      </c>
      <c r="K274" s="455">
        <f t="shared" si="325"/>
        <v>13.1</v>
      </c>
      <c r="L274" s="455">
        <f t="shared" si="326"/>
        <v>63.1</v>
      </c>
      <c r="M274" s="455"/>
      <c r="N274" s="224">
        <f t="shared" si="327"/>
        <v>0.20760697305863707</v>
      </c>
      <c r="O274" s="179">
        <f t="shared" si="359"/>
        <v>2.0033341889689962</v>
      </c>
      <c r="P274" s="179">
        <f t="shared" si="360"/>
        <v>4.7698433070690385</v>
      </c>
      <c r="Q274" s="224">
        <f t="shared" si="330"/>
        <v>0.31798955380460259</v>
      </c>
      <c r="R274" s="224">
        <f t="shared" si="361"/>
        <v>0.13355561259793308</v>
      </c>
      <c r="S274" s="224">
        <f t="shared" si="362"/>
        <v>6.3</v>
      </c>
      <c r="T274" s="224">
        <f t="shared" si="363"/>
        <v>0.26447409669211197</v>
      </c>
      <c r="U274" s="224">
        <f t="shared" si="334"/>
        <v>0.29092150636132313</v>
      </c>
      <c r="V274" s="224">
        <f t="shared" si="335"/>
        <v>1.1103874288600122</v>
      </c>
      <c r="W274" s="204">
        <f t="shared" si="336"/>
        <v>350</v>
      </c>
      <c r="X274" s="455">
        <f t="shared" si="337"/>
        <v>350</v>
      </c>
      <c r="Z274" s="224">
        <f t="shared" si="338"/>
        <v>0.539238891061395</v>
      </c>
      <c r="AA274" s="180">
        <f t="shared" si="339"/>
        <v>2.2639800769753222</v>
      </c>
      <c r="AB274" s="180">
        <f t="shared" si="364"/>
        <v>0.1263812940814858</v>
      </c>
      <c r="AC274" s="180"/>
      <c r="AD274" s="180">
        <f t="shared" si="341"/>
        <v>1.217557251908397</v>
      </c>
      <c r="AE274" s="564">
        <f t="shared" si="365"/>
        <v>555.36647260785173</v>
      </c>
      <c r="AF274" s="547">
        <f t="shared" si="366"/>
        <v>3.6552440597785188E-2</v>
      </c>
      <c r="AH274" s="180">
        <f t="shared" si="367"/>
        <v>0.35826421360951854</v>
      </c>
      <c r="AI274" s="180">
        <f t="shared" si="368"/>
        <v>0.35826421360951854</v>
      </c>
      <c r="AJ274" s="180">
        <f t="shared" si="369"/>
        <v>1.2505660841551989</v>
      </c>
      <c r="AL274" s="564">
        <f t="shared" si="370"/>
        <v>57.999999999999993</v>
      </c>
      <c r="AM274" s="473">
        <f t="shared" si="371"/>
        <v>350</v>
      </c>
      <c r="AO274">
        <f t="shared" si="349"/>
        <v>57.999999999999993</v>
      </c>
      <c r="AP274">
        <f t="shared" si="350"/>
        <v>350</v>
      </c>
      <c r="AR274" s="5">
        <f t="shared" si="374"/>
        <v>2.8571428571428572</v>
      </c>
      <c r="AS274" s="5">
        <f t="shared" si="353"/>
        <v>0.39409063497047042</v>
      </c>
      <c r="AT274" s="5">
        <f t="shared" si="354"/>
        <v>2.463052222172387</v>
      </c>
      <c r="AU274" s="180">
        <f t="shared" si="355"/>
        <v>0.13793172223966466</v>
      </c>
      <c r="CB274" s="582">
        <f t="shared" si="372"/>
        <v>-50</v>
      </c>
    </row>
    <row r="275" spans="5:80" x14ac:dyDescent="0.25">
      <c r="E275" s="177">
        <v>59</v>
      </c>
      <c r="F275" s="224">
        <f t="shared" si="373"/>
        <v>5.8999999999999997E-2</v>
      </c>
      <c r="G275" s="224">
        <f t="shared" si="356"/>
        <v>5.8999999999999997E-2</v>
      </c>
      <c r="H275" s="224">
        <f t="shared" si="357"/>
        <v>0.37169999999999997</v>
      </c>
      <c r="I275" s="224">
        <f t="shared" si="358"/>
        <v>0.88500000000000001</v>
      </c>
      <c r="J275" s="560">
        <f t="shared" si="324"/>
        <v>50</v>
      </c>
      <c r="K275" s="455">
        <f t="shared" si="325"/>
        <v>13.1</v>
      </c>
      <c r="L275" s="455">
        <f t="shared" si="326"/>
        <v>63.1</v>
      </c>
      <c r="M275" s="455"/>
      <c r="N275" s="224">
        <f t="shared" si="327"/>
        <v>0.20760697305863707</v>
      </c>
      <c r="O275" s="179">
        <f t="shared" si="359"/>
        <v>2.0033341889689962</v>
      </c>
      <c r="P275" s="179">
        <f t="shared" si="360"/>
        <v>4.7698433070690385</v>
      </c>
      <c r="Q275" s="224">
        <f t="shared" si="330"/>
        <v>0.31798955380460259</v>
      </c>
      <c r="R275" s="224">
        <f t="shared" si="361"/>
        <v>0.13355561259793308</v>
      </c>
      <c r="S275" s="224">
        <f t="shared" si="362"/>
        <v>6.3</v>
      </c>
      <c r="T275" s="224">
        <f t="shared" si="363"/>
        <v>0.26903399491094149</v>
      </c>
      <c r="U275" s="224">
        <f t="shared" si="334"/>
        <v>0.2959373944020357</v>
      </c>
      <c r="V275" s="224">
        <f t="shared" si="335"/>
        <v>1.1295320397024262</v>
      </c>
      <c r="W275" s="204">
        <f t="shared" si="336"/>
        <v>350</v>
      </c>
      <c r="X275" s="455">
        <f t="shared" si="337"/>
        <v>350</v>
      </c>
      <c r="Z275" s="224">
        <f t="shared" si="338"/>
        <v>0.539238891061395</v>
      </c>
      <c r="AA275" s="180">
        <f t="shared" si="339"/>
        <v>2.2639800769753222</v>
      </c>
      <c r="AB275" s="180">
        <f t="shared" si="364"/>
        <v>0.1263812940814858</v>
      </c>
      <c r="AC275" s="180"/>
      <c r="AD275" s="180">
        <f t="shared" si="341"/>
        <v>1.217557251908397</v>
      </c>
      <c r="AE275" s="564">
        <f t="shared" si="365"/>
        <v>564.94175661833197</v>
      </c>
      <c r="AF275" s="547">
        <f t="shared" si="366"/>
        <v>3.6552440597785188E-2</v>
      </c>
      <c r="AH275" s="180">
        <f t="shared" si="367"/>
        <v>0.36133949931640985</v>
      </c>
      <c r="AI275" s="180">
        <f t="shared" si="368"/>
        <v>0.36133949931640985</v>
      </c>
      <c r="AJ275" s="180">
        <f t="shared" si="369"/>
        <v>1.2528440735677109</v>
      </c>
      <c r="AL275" s="564">
        <f t="shared" si="370"/>
        <v>59</v>
      </c>
      <c r="AM275" s="473">
        <f t="shared" si="371"/>
        <v>350</v>
      </c>
      <c r="AO275">
        <f t="shared" si="349"/>
        <v>59</v>
      </c>
      <c r="AP275">
        <f t="shared" si="350"/>
        <v>350</v>
      </c>
      <c r="AR275" s="5">
        <f t="shared" si="374"/>
        <v>2.8571428571428572</v>
      </c>
      <c r="AS275" s="5">
        <f t="shared" si="353"/>
        <v>0.39747344924805084</v>
      </c>
      <c r="AT275" s="5">
        <f t="shared" si="354"/>
        <v>2.4596694078948063</v>
      </c>
      <c r="AU275" s="180">
        <f t="shared" si="355"/>
        <v>0.13911570723681779</v>
      </c>
      <c r="CB275" s="582">
        <f t="shared" si="372"/>
        <v>-50</v>
      </c>
    </row>
    <row r="276" spans="5:80" x14ac:dyDescent="0.25">
      <c r="E276" s="177">
        <v>60</v>
      </c>
      <c r="F276" s="224">
        <f t="shared" si="373"/>
        <v>0.06</v>
      </c>
      <c r="G276" s="224">
        <f t="shared" si="356"/>
        <v>0.06</v>
      </c>
      <c r="H276" s="224">
        <f t="shared" si="357"/>
        <v>0.378</v>
      </c>
      <c r="I276" s="224">
        <f t="shared" si="358"/>
        <v>0.89999999999999991</v>
      </c>
      <c r="J276" s="560">
        <f t="shared" si="324"/>
        <v>50</v>
      </c>
      <c r="K276" s="455">
        <f t="shared" si="325"/>
        <v>13.1</v>
      </c>
      <c r="L276" s="455">
        <f t="shared" si="326"/>
        <v>63.1</v>
      </c>
      <c r="M276" s="455"/>
      <c r="N276" s="224">
        <f t="shared" si="327"/>
        <v>0.20760697305863707</v>
      </c>
      <c r="O276" s="179">
        <f t="shared" si="359"/>
        <v>2.0033341889689962</v>
      </c>
      <c r="P276" s="179">
        <f t="shared" si="360"/>
        <v>4.7698433070690385</v>
      </c>
      <c r="Q276" s="224">
        <f t="shared" si="330"/>
        <v>0.31798955380460259</v>
      </c>
      <c r="R276" s="224">
        <f t="shared" si="361"/>
        <v>0.13355561259793308</v>
      </c>
      <c r="S276" s="224">
        <f t="shared" si="362"/>
        <v>6.3</v>
      </c>
      <c r="T276" s="224">
        <f t="shared" si="363"/>
        <v>0.273593893129771</v>
      </c>
      <c r="U276" s="224">
        <f t="shared" si="334"/>
        <v>0.3009532824427481</v>
      </c>
      <c r="V276" s="224">
        <f t="shared" si="335"/>
        <v>1.14867665054484</v>
      </c>
      <c r="W276" s="204">
        <f t="shared" si="336"/>
        <v>350</v>
      </c>
      <c r="X276" s="455">
        <f t="shared" si="337"/>
        <v>350</v>
      </c>
      <c r="Z276" s="224">
        <f t="shared" si="338"/>
        <v>0.539238891061395</v>
      </c>
      <c r="AA276" s="180">
        <f t="shared" si="339"/>
        <v>2.2639800769753222</v>
      </c>
      <c r="AB276" s="180">
        <f t="shared" si="364"/>
        <v>0.1263812940814858</v>
      </c>
      <c r="AC276" s="180"/>
      <c r="AD276" s="180">
        <f t="shared" si="341"/>
        <v>1.217557251908397</v>
      </c>
      <c r="AE276" s="564">
        <f t="shared" si="365"/>
        <v>574.5170406288122</v>
      </c>
      <c r="AF276" s="547">
        <f t="shared" si="366"/>
        <v>3.6552440597785188E-2</v>
      </c>
      <c r="AH276" s="180">
        <f t="shared" si="367"/>
        <v>0.36438883185303689</v>
      </c>
      <c r="AI276" s="180">
        <f t="shared" si="368"/>
        <v>0.36438883185303689</v>
      </c>
      <c r="AJ276" s="180">
        <f t="shared" si="369"/>
        <v>1.255102838409657</v>
      </c>
      <c r="AL276" s="564">
        <f t="shared" si="370"/>
        <v>60</v>
      </c>
      <c r="AM276" s="473">
        <f t="shared" si="371"/>
        <v>350</v>
      </c>
      <c r="AO276">
        <f t="shared" si="349"/>
        <v>60</v>
      </c>
      <c r="AP276">
        <f t="shared" si="350"/>
        <v>350</v>
      </c>
      <c r="AR276" s="5">
        <f t="shared" si="374"/>
        <v>2.8571428571428572</v>
      </c>
      <c r="AS276" s="5">
        <f t="shared" si="353"/>
        <v>0.40082771503834058</v>
      </c>
      <c r="AT276" s="5">
        <f t="shared" si="354"/>
        <v>2.4563151421045166</v>
      </c>
      <c r="AU276" s="180">
        <f t="shared" si="355"/>
        <v>0.14028970026341919</v>
      </c>
      <c r="CB276" s="582">
        <f t="shared" si="372"/>
        <v>-50</v>
      </c>
    </row>
    <row r="277" spans="5:80" x14ac:dyDescent="0.25">
      <c r="E277" s="177">
        <v>61</v>
      </c>
      <c r="F277" s="224">
        <f t="shared" si="373"/>
        <v>6.0999999999999999E-2</v>
      </c>
      <c r="G277" s="224">
        <f t="shared" si="356"/>
        <v>6.0999999999999999E-2</v>
      </c>
      <c r="H277" s="224">
        <f t="shared" si="357"/>
        <v>0.38429999999999997</v>
      </c>
      <c r="I277" s="224">
        <f t="shared" si="358"/>
        <v>0.91500000000000004</v>
      </c>
      <c r="J277" s="560">
        <f t="shared" si="324"/>
        <v>50</v>
      </c>
      <c r="K277" s="455">
        <f t="shared" si="325"/>
        <v>13.1</v>
      </c>
      <c r="L277" s="455">
        <f t="shared" si="326"/>
        <v>63.1</v>
      </c>
      <c r="M277" s="455"/>
      <c r="N277" s="224">
        <f t="shared" si="327"/>
        <v>0.20760697305863707</v>
      </c>
      <c r="O277" s="179">
        <f t="shared" si="359"/>
        <v>2.0033341889689962</v>
      </c>
      <c r="P277" s="179">
        <f t="shared" si="360"/>
        <v>4.7698433070690385</v>
      </c>
      <c r="Q277" s="224">
        <f t="shared" si="330"/>
        <v>0.31798955380460259</v>
      </c>
      <c r="R277" s="224">
        <f t="shared" si="361"/>
        <v>0.13355561259793308</v>
      </c>
      <c r="S277" s="224">
        <f t="shared" si="362"/>
        <v>6.3</v>
      </c>
      <c r="T277" s="224">
        <f t="shared" si="363"/>
        <v>0.27815379134860058</v>
      </c>
      <c r="U277" s="224">
        <f t="shared" si="334"/>
        <v>0.30596917048346067</v>
      </c>
      <c r="V277" s="224">
        <f t="shared" si="335"/>
        <v>1.1678212613872543</v>
      </c>
      <c r="W277" s="204">
        <f t="shared" si="336"/>
        <v>350</v>
      </c>
      <c r="X277" s="455">
        <f t="shared" si="337"/>
        <v>350</v>
      </c>
      <c r="Z277" s="224">
        <f t="shared" si="338"/>
        <v>0.539238891061395</v>
      </c>
      <c r="AA277" s="180">
        <f t="shared" si="339"/>
        <v>2.2639800769753222</v>
      </c>
      <c r="AB277" s="180">
        <f t="shared" si="364"/>
        <v>0.1263812940814858</v>
      </c>
      <c r="AC277" s="180"/>
      <c r="AD277" s="180">
        <f t="shared" si="341"/>
        <v>1.217557251908397</v>
      </c>
      <c r="AE277" s="564">
        <f t="shared" si="365"/>
        <v>584.09232463929231</v>
      </c>
      <c r="AF277" s="547">
        <f t="shared" si="366"/>
        <v>3.6552440597785188E-2</v>
      </c>
      <c r="AH277" s="180">
        <f t="shared" si="367"/>
        <v>0.3674128574127582</v>
      </c>
      <c r="AI277" s="180">
        <f t="shared" si="368"/>
        <v>0.3674128574127582</v>
      </c>
      <c r="AJ277" s="180">
        <f t="shared" si="369"/>
        <v>1.2573428573427838</v>
      </c>
      <c r="AL277" s="564">
        <f t="shared" si="370"/>
        <v>61</v>
      </c>
      <c r="AM277" s="473">
        <f t="shared" si="371"/>
        <v>350</v>
      </c>
      <c r="AO277">
        <f t="shared" si="349"/>
        <v>61</v>
      </c>
      <c r="AP277">
        <f t="shared" si="350"/>
        <v>350</v>
      </c>
      <c r="AR277" s="5">
        <f t="shared" si="374"/>
        <v>2.8571428571428572</v>
      </c>
      <c r="AS277" s="5">
        <f t="shared" si="353"/>
        <v>0.40415414315403403</v>
      </c>
      <c r="AT277" s="5">
        <f t="shared" si="354"/>
        <v>2.4529887139888231</v>
      </c>
      <c r="AU277" s="180">
        <f t="shared" si="355"/>
        <v>0.1414539501039119</v>
      </c>
      <c r="CB277" s="582">
        <f t="shared" si="372"/>
        <v>-50</v>
      </c>
    </row>
    <row r="278" spans="5:80" x14ac:dyDescent="0.25">
      <c r="E278" s="177">
        <v>62</v>
      </c>
      <c r="F278" s="224">
        <f t="shared" si="373"/>
        <v>6.2E-2</v>
      </c>
      <c r="G278" s="224">
        <f t="shared" si="356"/>
        <v>6.2E-2</v>
      </c>
      <c r="H278" s="224">
        <f t="shared" si="357"/>
        <v>0.3906</v>
      </c>
      <c r="I278" s="224">
        <f t="shared" si="358"/>
        <v>0.92999999999999994</v>
      </c>
      <c r="J278" s="560">
        <f t="shared" si="324"/>
        <v>50</v>
      </c>
      <c r="K278" s="455">
        <f t="shared" si="325"/>
        <v>13.1</v>
      </c>
      <c r="L278" s="455">
        <f t="shared" si="326"/>
        <v>63.1</v>
      </c>
      <c r="M278" s="455"/>
      <c r="N278" s="224">
        <f t="shared" si="327"/>
        <v>0.20760697305863707</v>
      </c>
      <c r="O278" s="179">
        <f t="shared" si="359"/>
        <v>2.0033341889689962</v>
      </c>
      <c r="P278" s="179">
        <f t="shared" si="360"/>
        <v>4.7698433070690385</v>
      </c>
      <c r="Q278" s="224">
        <f t="shared" si="330"/>
        <v>0.31798955380460259</v>
      </c>
      <c r="R278" s="224">
        <f t="shared" si="361"/>
        <v>0.13355561259793308</v>
      </c>
      <c r="S278" s="224">
        <f t="shared" si="362"/>
        <v>6.3</v>
      </c>
      <c r="T278" s="224">
        <f t="shared" si="363"/>
        <v>0.28271368956743004</v>
      </c>
      <c r="U278" s="224">
        <f t="shared" si="334"/>
        <v>0.31098505852417307</v>
      </c>
      <c r="V278" s="224">
        <f t="shared" si="335"/>
        <v>1.1869658722296683</v>
      </c>
      <c r="W278" s="204">
        <f t="shared" si="336"/>
        <v>350</v>
      </c>
      <c r="X278" s="455">
        <f t="shared" si="337"/>
        <v>350</v>
      </c>
      <c r="Z278" s="224">
        <f t="shared" si="338"/>
        <v>0.539238891061395</v>
      </c>
      <c r="AA278" s="180">
        <f t="shared" si="339"/>
        <v>2.2639800769753222</v>
      </c>
      <c r="AB278" s="180">
        <f t="shared" si="364"/>
        <v>0.1263812940814858</v>
      </c>
      <c r="AC278" s="180"/>
      <c r="AD278" s="180">
        <f t="shared" si="341"/>
        <v>1.217557251908397</v>
      </c>
      <c r="AE278" s="564">
        <f t="shared" si="365"/>
        <v>593.66760864977266</v>
      </c>
      <c r="AF278" s="547">
        <f t="shared" si="366"/>
        <v>3.6552440597785188E-2</v>
      </c>
      <c r="AH278" s="180">
        <f t="shared" si="367"/>
        <v>0.37041219581055213</v>
      </c>
      <c r="AI278" s="180">
        <f t="shared" si="368"/>
        <v>0.37041219581055213</v>
      </c>
      <c r="AJ278" s="180">
        <f t="shared" si="369"/>
        <v>1.2595645894892979</v>
      </c>
      <c r="AL278" s="564">
        <f t="shared" si="370"/>
        <v>62</v>
      </c>
      <c r="AM278" s="473">
        <f t="shared" si="371"/>
        <v>350</v>
      </c>
      <c r="AO278">
        <f t="shared" si="349"/>
        <v>62</v>
      </c>
      <c r="AP278">
        <f t="shared" si="350"/>
        <v>350</v>
      </c>
      <c r="AR278" s="5">
        <f t="shared" si="374"/>
        <v>2.8571428571428572</v>
      </c>
      <c r="AS278" s="5">
        <f t="shared" si="353"/>
        <v>0.40745341539160734</v>
      </c>
      <c r="AT278" s="5">
        <f t="shared" si="354"/>
        <v>2.44968944175125</v>
      </c>
      <c r="AU278" s="180">
        <f t="shared" si="355"/>
        <v>0.14260869538706256</v>
      </c>
      <c r="CB278" s="582">
        <f t="shared" si="372"/>
        <v>-50</v>
      </c>
    </row>
    <row r="279" spans="5:80" x14ac:dyDescent="0.25">
      <c r="E279" s="177">
        <v>63</v>
      </c>
      <c r="F279" s="224">
        <f t="shared" si="373"/>
        <v>6.3E-2</v>
      </c>
      <c r="G279" s="224">
        <f t="shared" si="356"/>
        <v>6.3E-2</v>
      </c>
      <c r="H279" s="224">
        <f t="shared" si="357"/>
        <v>0.39689999999999998</v>
      </c>
      <c r="I279" s="224">
        <f t="shared" si="358"/>
        <v>0.94500000000000006</v>
      </c>
      <c r="J279" s="560">
        <f t="shared" si="324"/>
        <v>50</v>
      </c>
      <c r="K279" s="455">
        <f t="shared" si="325"/>
        <v>13.1</v>
      </c>
      <c r="L279" s="455">
        <f t="shared" si="326"/>
        <v>63.1</v>
      </c>
      <c r="M279" s="455"/>
      <c r="N279" s="224">
        <f t="shared" si="327"/>
        <v>0.20760697305863707</v>
      </c>
      <c r="O279" s="179">
        <f t="shared" si="359"/>
        <v>2.0033341889689962</v>
      </c>
      <c r="P279" s="179">
        <f t="shared" si="360"/>
        <v>4.7698433070690385</v>
      </c>
      <c r="Q279" s="224">
        <f t="shared" si="330"/>
        <v>0.31798955380460259</v>
      </c>
      <c r="R279" s="224">
        <f t="shared" si="361"/>
        <v>0.13355561259793308</v>
      </c>
      <c r="S279" s="224">
        <f t="shared" si="362"/>
        <v>6.3</v>
      </c>
      <c r="T279" s="224">
        <f t="shared" si="363"/>
        <v>0.28727358778625961</v>
      </c>
      <c r="U279" s="224">
        <f t="shared" si="334"/>
        <v>0.31600094656488553</v>
      </c>
      <c r="V279" s="224">
        <f t="shared" si="335"/>
        <v>1.2061104830720824</v>
      </c>
      <c r="W279" s="204">
        <f t="shared" si="336"/>
        <v>350</v>
      </c>
      <c r="X279" s="455">
        <f t="shared" si="337"/>
        <v>350</v>
      </c>
      <c r="Z279" s="224">
        <f t="shared" si="338"/>
        <v>0.539238891061395</v>
      </c>
      <c r="AA279" s="180">
        <f t="shared" si="339"/>
        <v>2.2639800769753222</v>
      </c>
      <c r="AB279" s="180">
        <f t="shared" si="364"/>
        <v>0.1263812940814858</v>
      </c>
      <c r="AC279" s="180"/>
      <c r="AD279" s="180">
        <f t="shared" si="341"/>
        <v>1.217557251908397</v>
      </c>
      <c r="AE279" s="564">
        <f t="shared" si="365"/>
        <v>603.24289266025289</v>
      </c>
      <c r="AF279" s="547">
        <f t="shared" si="366"/>
        <v>3.6552440597785188E-2</v>
      </c>
      <c r="AH279" s="180">
        <f t="shared" si="367"/>
        <v>0.37338744196635998</v>
      </c>
      <c r="AI279" s="180">
        <f t="shared" si="368"/>
        <v>0.37338744196635998</v>
      </c>
      <c r="AJ279" s="180">
        <f t="shared" si="369"/>
        <v>1.2617684755306371</v>
      </c>
      <c r="AL279" s="564">
        <f t="shared" si="370"/>
        <v>63</v>
      </c>
      <c r="AM279" s="473">
        <f t="shared" si="371"/>
        <v>350</v>
      </c>
      <c r="AO279">
        <f t="shared" si="349"/>
        <v>63</v>
      </c>
      <c r="AP279">
        <f t="shared" si="350"/>
        <v>350</v>
      </c>
      <c r="AR279" s="5">
        <f t="shared" si="374"/>
        <v>2.8571428571428572</v>
      </c>
      <c r="AS279" s="5">
        <f t="shared" si="353"/>
        <v>0.410726186162996</v>
      </c>
      <c r="AT279" s="5">
        <f t="shared" si="354"/>
        <v>2.4464166709798612</v>
      </c>
      <c r="AU279" s="180">
        <f t="shared" si="355"/>
        <v>0.14375416515704859</v>
      </c>
      <c r="CB279" s="582">
        <f t="shared" si="372"/>
        <v>-50</v>
      </c>
    </row>
    <row r="280" spans="5:80" x14ac:dyDescent="0.25">
      <c r="E280" s="177">
        <v>64</v>
      </c>
      <c r="F280" s="224">
        <f t="shared" si="373"/>
        <v>6.4000000000000001E-2</v>
      </c>
      <c r="G280" s="224">
        <f t="shared" ref="G280:G316" si="375">IF(PLOT_TYPE=1, E280/100*Iout2, min_I*EXP(Q280*rr/100))</f>
        <v>6.4000000000000001E-2</v>
      </c>
      <c r="H280" s="224">
        <f t="shared" ref="H280:H316" si="376">F280*Vout</f>
        <v>0.4032</v>
      </c>
      <c r="I280" s="224">
        <f t="shared" ref="I280:I316" si="377">Vout2*G280</f>
        <v>0.96</v>
      </c>
      <c r="J280" s="560">
        <f t="shared" ref="J280:J316" si="378">VIN_max</f>
        <v>50</v>
      </c>
      <c r="K280" s="455">
        <f t="shared" ref="K280:K316" si="379">(S280+Vfwd1)*Nps</f>
        <v>13.1</v>
      </c>
      <c r="L280" s="455">
        <f t="shared" ref="L280:L316" si="380">(Vout+Vfwd1)*Nps+J280</f>
        <v>63.1</v>
      </c>
      <c r="M280" s="455"/>
      <c r="N280" s="224">
        <f t="shared" ref="N280:N316" si="381">(Vout+Vfwd1)*Nps/((Vout+Vfwd1)*Nps+J280)</f>
        <v>0.20760697305863707</v>
      </c>
      <c r="O280" s="179">
        <f t="shared" ref="O280:O311" si="382">N280*J280*Isw_max*0.5*Efficiency*Pout/(Pout+Pout2)</f>
        <v>2.0033341889689962</v>
      </c>
      <c r="P280" s="179">
        <f t="shared" ref="P280:P316" si="383">N280*J280*Isw_max*0.5*Efficiency*(Pout2/Pout_total)</f>
        <v>4.7698433070690385</v>
      </c>
      <c r="Q280" s="224">
        <f t="shared" ref="Q280:Q316" si="384">O280/Vout</f>
        <v>0.31798955380460259</v>
      </c>
      <c r="R280" s="224">
        <f t="shared" ref="R280:R316" si="385">O280/Vout2</f>
        <v>0.13355561259793308</v>
      </c>
      <c r="S280" s="224">
        <f t="shared" ref="S280:S316" si="386">MIN(Vout,O280/F280)</f>
        <v>6.3</v>
      </c>
      <c r="T280" s="224">
        <f t="shared" ref="T280:T316" si="387">MIN(2*(Vout*F280+Vout2*G280)/(Efficiency*J280*N280), Isw_max)</f>
        <v>0.29183348600508907</v>
      </c>
      <c r="U280" s="224">
        <f t="shared" ref="U280:U316" si="388">L*T280/J280*1000000</f>
        <v>0.32101683460559793</v>
      </c>
      <c r="V280" s="224">
        <f t="shared" ref="V280:V316" si="389">L*T280/K280*1000000</f>
        <v>1.2252550939144962</v>
      </c>
      <c r="W280" s="204">
        <f t="shared" ref="W280:W316" si="390">IF(1/((350000*L)*(1/J280+1/K280))&gt;Isw_min, 350, 0.001/((Isw_min*L)*(1/J280+1/K280)))</f>
        <v>350</v>
      </c>
      <c r="X280" s="455">
        <f t="shared" ref="X280:X316" si="391">MIN(1/(U280+V280)*1000, 350)</f>
        <v>350</v>
      </c>
      <c r="Z280" s="224">
        <f t="shared" ref="Z280:Z316" si="392">1/((W280*1000*L)*(1/J280+1/K280))</f>
        <v>0.539238891061395</v>
      </c>
      <c r="AA280" s="180">
        <f t="shared" ref="AA280:AA316" si="393">L*Z280/K280*1000000</f>
        <v>2.2639800769753222</v>
      </c>
      <c r="AB280" s="180">
        <f t="shared" ref="AB280:AB311" si="394">0.5*AA280*Z280*Nps*W280/1000*(Pout/(Pout+Pout2))</f>
        <v>0.1263812940814858</v>
      </c>
      <c r="AC280" s="180"/>
      <c r="AD280" s="180">
        <f t="shared" ref="AD280:AD316" si="395">L*Isw_min/K280*1000000</f>
        <v>1.217557251908397</v>
      </c>
      <c r="AE280" s="564">
        <f t="shared" ref="AE280:AE311" si="396">MAX(10, F280/(0.5*AD280/1000000*Isw_min*Nps)/1000*Pout_total/Pout)</f>
        <v>612.81817667073301</v>
      </c>
      <c r="AF280" s="547">
        <f t="shared" ref="AF280:AF316" si="397">0.5*AD280/1000000*Isw_min*Nps*W280*1000*(Pout/Pout_total)</f>
        <v>3.6552440597785188E-2</v>
      </c>
      <c r="AH280" s="180">
        <f t="shared" ref="AH280:AH316" si="398">SQRT((H280+I280)/(0.5*L*Fsw_DCM))</f>
        <v>0.37633916728287642</v>
      </c>
      <c r="AI280" s="180">
        <f t="shared" ref="AI280:AI311" si="399">MAX(IF(F280&gt;AB280,T280,AH280),Isw_min)</f>
        <v>0.37633916728287642</v>
      </c>
      <c r="AJ280" s="180">
        <f t="shared" ref="AJ280:AJ311" si="400">IF(F280&gt;AF280, (AI280-Isw_min)/1.08*0.8+1.2, AE280*0.2/350+1)</f>
        <v>1.2639549387280566</v>
      </c>
      <c r="AL280" s="564">
        <f t="shared" ref="AL280:AL316" si="401">F280*1000</f>
        <v>64</v>
      </c>
      <c r="AM280" s="473">
        <f t="shared" ref="AM280:AM316" si="402">IF(F280&gt;AF280, X280, AE280)</f>
        <v>350</v>
      </c>
      <c r="AO280">
        <f t="shared" ref="AO280:AO316" si="403">IF(H280&gt;O280, "",AL280)</f>
        <v>64</v>
      </c>
      <c r="AP280">
        <f t="shared" ref="AP280:AP316" si="404">IF(H280&gt;O280, "",AM280)</f>
        <v>350</v>
      </c>
      <c r="AR280" s="5">
        <f t="shared" si="374"/>
        <v>2.8571428571428572</v>
      </c>
      <c r="AS280" s="5">
        <f t="shared" si="353"/>
        <v>0.41397308401116406</v>
      </c>
      <c r="AT280" s="5">
        <f t="shared" si="354"/>
        <v>2.443169773131693</v>
      </c>
      <c r="AU280" s="180">
        <f t="shared" si="355"/>
        <v>0.14489057940390743</v>
      </c>
      <c r="CB280" s="582">
        <f t="shared" ref="CB280:CB316" si="405">IF(ABS(F280-Ioutmax_Vinmax)&lt;Iout/200, AM280, -50)</f>
        <v>-50</v>
      </c>
    </row>
    <row r="281" spans="5:80" x14ac:dyDescent="0.25">
      <c r="E281" s="177">
        <v>65</v>
      </c>
      <c r="F281" s="224">
        <f t="shared" ref="F281:F312" si="406">IF(PLOT_TYPE=1, E281/100*Iout_max, min_I*EXP(O281*rr/100))</f>
        <v>6.5000000000000002E-2</v>
      </c>
      <c r="G281" s="224">
        <f t="shared" si="375"/>
        <v>6.5000000000000002E-2</v>
      </c>
      <c r="H281" s="224">
        <f t="shared" si="376"/>
        <v>0.40949999999999998</v>
      </c>
      <c r="I281" s="224">
        <f t="shared" si="377"/>
        <v>0.97500000000000009</v>
      </c>
      <c r="J281" s="560">
        <f t="shared" si="378"/>
        <v>50</v>
      </c>
      <c r="K281" s="455">
        <f t="shared" si="379"/>
        <v>13.1</v>
      </c>
      <c r="L281" s="455">
        <f t="shared" si="380"/>
        <v>63.1</v>
      </c>
      <c r="M281" s="455"/>
      <c r="N281" s="224">
        <f t="shared" si="381"/>
        <v>0.20760697305863707</v>
      </c>
      <c r="O281" s="179">
        <f t="shared" si="382"/>
        <v>2.0033341889689962</v>
      </c>
      <c r="P281" s="179">
        <f t="shared" si="383"/>
        <v>4.7698433070690385</v>
      </c>
      <c r="Q281" s="224">
        <f t="shared" si="384"/>
        <v>0.31798955380460259</v>
      </c>
      <c r="R281" s="224">
        <f t="shared" si="385"/>
        <v>0.13355561259793308</v>
      </c>
      <c r="S281" s="224">
        <f t="shared" si="386"/>
        <v>6.3</v>
      </c>
      <c r="T281" s="224">
        <f t="shared" si="387"/>
        <v>0.29639338422391864</v>
      </c>
      <c r="U281" s="224">
        <f t="shared" si="388"/>
        <v>0.32603272264631056</v>
      </c>
      <c r="V281" s="224">
        <f t="shared" si="389"/>
        <v>1.2443997047569104</v>
      </c>
      <c r="W281" s="204">
        <f t="shared" si="390"/>
        <v>350</v>
      </c>
      <c r="X281" s="455">
        <f t="shared" si="391"/>
        <v>350</v>
      </c>
      <c r="Z281" s="224">
        <f t="shared" si="392"/>
        <v>0.539238891061395</v>
      </c>
      <c r="AA281" s="180">
        <f t="shared" si="393"/>
        <v>2.2639800769753222</v>
      </c>
      <c r="AB281" s="180">
        <f t="shared" si="394"/>
        <v>0.1263812940814858</v>
      </c>
      <c r="AC281" s="180"/>
      <c r="AD281" s="180">
        <f t="shared" si="395"/>
        <v>1.217557251908397</v>
      </c>
      <c r="AE281" s="564">
        <f t="shared" si="396"/>
        <v>622.39346068121324</v>
      </c>
      <c r="AF281" s="547">
        <f t="shared" si="397"/>
        <v>3.6552440597785188E-2</v>
      </c>
      <c r="AH281" s="180">
        <f t="shared" si="398"/>
        <v>0.37926792092682432</v>
      </c>
      <c r="AI281" s="180">
        <f t="shared" si="399"/>
        <v>0.37926792092682432</v>
      </c>
      <c r="AJ281" s="180">
        <f t="shared" si="400"/>
        <v>1.2661243858717217</v>
      </c>
      <c r="AL281" s="564">
        <f t="shared" si="401"/>
        <v>65</v>
      </c>
      <c r="AM281" s="473">
        <f t="shared" si="402"/>
        <v>350</v>
      </c>
      <c r="AO281">
        <f t="shared" si="403"/>
        <v>65</v>
      </c>
      <c r="AP281">
        <f t="shared" si="404"/>
        <v>350</v>
      </c>
      <c r="AR281" s="5">
        <f t="shared" si="374"/>
        <v>2.8571428571428572</v>
      </c>
      <c r="AS281" s="5">
        <f t="shared" si="353"/>
        <v>0.41719471301950678</v>
      </c>
      <c r="AT281" s="5">
        <f t="shared" si="354"/>
        <v>2.4399481441233504</v>
      </c>
      <c r="AU281" s="180">
        <f t="shared" si="355"/>
        <v>0.14601814955682738</v>
      </c>
      <c r="CB281" s="582">
        <f t="shared" si="405"/>
        <v>-50</v>
      </c>
    </row>
    <row r="282" spans="5:80" x14ac:dyDescent="0.25">
      <c r="E282" s="177">
        <v>66</v>
      </c>
      <c r="F282" s="224">
        <f t="shared" si="406"/>
        <v>6.6000000000000003E-2</v>
      </c>
      <c r="G282" s="224">
        <f t="shared" si="375"/>
        <v>6.6000000000000003E-2</v>
      </c>
      <c r="H282" s="224">
        <f t="shared" si="376"/>
        <v>0.4158</v>
      </c>
      <c r="I282" s="224">
        <f t="shared" si="377"/>
        <v>0.99</v>
      </c>
      <c r="J282" s="560">
        <f t="shared" si="378"/>
        <v>50</v>
      </c>
      <c r="K282" s="455">
        <f t="shared" si="379"/>
        <v>13.1</v>
      </c>
      <c r="L282" s="455">
        <f t="shared" si="380"/>
        <v>63.1</v>
      </c>
      <c r="M282" s="455"/>
      <c r="N282" s="224">
        <f t="shared" si="381"/>
        <v>0.20760697305863707</v>
      </c>
      <c r="O282" s="179">
        <f t="shared" si="382"/>
        <v>2.0033341889689962</v>
      </c>
      <c r="P282" s="179">
        <f t="shared" si="383"/>
        <v>4.7698433070690385</v>
      </c>
      <c r="Q282" s="224">
        <f t="shared" si="384"/>
        <v>0.31798955380460259</v>
      </c>
      <c r="R282" s="224">
        <f t="shared" si="385"/>
        <v>0.13355561259793308</v>
      </c>
      <c r="S282" s="224">
        <f t="shared" si="386"/>
        <v>6.3</v>
      </c>
      <c r="T282" s="224">
        <f t="shared" si="387"/>
        <v>0.3009532824427481</v>
      </c>
      <c r="U282" s="224">
        <f t="shared" si="388"/>
        <v>0.33104861068702296</v>
      </c>
      <c r="V282" s="224">
        <f t="shared" si="389"/>
        <v>1.2635443155993242</v>
      </c>
      <c r="W282" s="204">
        <f t="shared" si="390"/>
        <v>350</v>
      </c>
      <c r="X282" s="455">
        <f t="shared" si="391"/>
        <v>350</v>
      </c>
      <c r="Z282" s="224">
        <f t="shared" si="392"/>
        <v>0.539238891061395</v>
      </c>
      <c r="AA282" s="180">
        <f t="shared" si="393"/>
        <v>2.2639800769753222</v>
      </c>
      <c r="AB282" s="180">
        <f t="shared" si="394"/>
        <v>0.1263812940814858</v>
      </c>
      <c r="AC282" s="180"/>
      <c r="AD282" s="180">
        <f t="shared" si="395"/>
        <v>1.217557251908397</v>
      </c>
      <c r="AE282" s="564">
        <f t="shared" si="396"/>
        <v>631.96874469169347</v>
      </c>
      <c r="AF282" s="547">
        <f t="shared" si="397"/>
        <v>3.6552440597785188E-2</v>
      </c>
      <c r="AH282" s="180">
        <f t="shared" si="398"/>
        <v>0.38217423102185061</v>
      </c>
      <c r="AI282" s="180">
        <f t="shared" si="399"/>
        <v>0.38217423102185061</v>
      </c>
      <c r="AJ282" s="180">
        <f t="shared" si="400"/>
        <v>1.2682772081643336</v>
      </c>
      <c r="AL282" s="564">
        <f t="shared" si="401"/>
        <v>66</v>
      </c>
      <c r="AM282" s="473">
        <f t="shared" si="402"/>
        <v>350</v>
      </c>
      <c r="AO282">
        <f t="shared" si="403"/>
        <v>66</v>
      </c>
      <c r="AP282">
        <f t="shared" si="404"/>
        <v>350</v>
      </c>
      <c r="AR282" s="5">
        <f t="shared" si="374"/>
        <v>2.8571428571428572</v>
      </c>
      <c r="AS282" s="5">
        <f t="shared" si="353"/>
        <v>0.42039165412403573</v>
      </c>
      <c r="AT282" s="5">
        <f t="shared" si="354"/>
        <v>2.4367512030188214</v>
      </c>
      <c r="AU282" s="180">
        <f t="shared" si="355"/>
        <v>0.14713707894341249</v>
      </c>
      <c r="CB282" s="582">
        <f t="shared" si="405"/>
        <v>-50</v>
      </c>
    </row>
    <row r="283" spans="5:80" x14ac:dyDescent="0.25">
      <c r="E283" s="177">
        <v>67</v>
      </c>
      <c r="F283" s="224">
        <f t="shared" si="406"/>
        <v>6.7000000000000004E-2</v>
      </c>
      <c r="G283" s="224">
        <f t="shared" si="375"/>
        <v>6.7000000000000004E-2</v>
      </c>
      <c r="H283" s="224">
        <f t="shared" si="376"/>
        <v>0.42210000000000003</v>
      </c>
      <c r="I283" s="224">
        <f t="shared" si="377"/>
        <v>1.0050000000000001</v>
      </c>
      <c r="J283" s="560">
        <f t="shared" si="378"/>
        <v>50</v>
      </c>
      <c r="K283" s="455">
        <f t="shared" si="379"/>
        <v>13.1</v>
      </c>
      <c r="L283" s="455">
        <f t="shared" si="380"/>
        <v>63.1</v>
      </c>
      <c r="M283" s="455"/>
      <c r="N283" s="224">
        <f t="shared" si="381"/>
        <v>0.20760697305863707</v>
      </c>
      <c r="O283" s="179">
        <f t="shared" si="382"/>
        <v>2.0033341889689962</v>
      </c>
      <c r="P283" s="179">
        <f t="shared" si="383"/>
        <v>4.7698433070690385</v>
      </c>
      <c r="Q283" s="224">
        <f t="shared" si="384"/>
        <v>0.31798955380460259</v>
      </c>
      <c r="R283" s="224">
        <f t="shared" si="385"/>
        <v>0.13355561259793308</v>
      </c>
      <c r="S283" s="224">
        <f t="shared" si="386"/>
        <v>6.3</v>
      </c>
      <c r="T283" s="224">
        <f t="shared" si="387"/>
        <v>0.30551318066157768</v>
      </c>
      <c r="U283" s="224">
        <f t="shared" si="388"/>
        <v>0.33606449872773547</v>
      </c>
      <c r="V283" s="224">
        <f t="shared" si="389"/>
        <v>1.2826889264417383</v>
      </c>
      <c r="W283" s="204">
        <f t="shared" si="390"/>
        <v>350</v>
      </c>
      <c r="X283" s="455">
        <f t="shared" si="391"/>
        <v>350</v>
      </c>
      <c r="Z283" s="224">
        <f t="shared" si="392"/>
        <v>0.539238891061395</v>
      </c>
      <c r="AA283" s="180">
        <f t="shared" si="393"/>
        <v>2.2639800769753222</v>
      </c>
      <c r="AB283" s="180">
        <f t="shared" si="394"/>
        <v>0.1263812940814858</v>
      </c>
      <c r="AC283" s="180"/>
      <c r="AD283" s="180">
        <f t="shared" si="395"/>
        <v>1.217557251908397</v>
      </c>
      <c r="AE283" s="564">
        <f t="shared" si="396"/>
        <v>641.54402870217359</v>
      </c>
      <c r="AF283" s="547">
        <f t="shared" si="397"/>
        <v>3.6552440597785188E-2</v>
      </c>
      <c r="AH283" s="180">
        <f t="shared" si="398"/>
        <v>0.38505860576038276</v>
      </c>
      <c r="AI283" s="180">
        <f t="shared" si="399"/>
        <v>0.38505860576038276</v>
      </c>
      <c r="AJ283" s="180">
        <f t="shared" si="400"/>
        <v>1.2704137820447279</v>
      </c>
      <c r="AL283" s="564">
        <f t="shared" si="401"/>
        <v>67</v>
      </c>
      <c r="AM283" s="473">
        <f t="shared" si="402"/>
        <v>350</v>
      </c>
      <c r="AO283">
        <f t="shared" si="403"/>
        <v>67</v>
      </c>
      <c r="AP283">
        <f t="shared" si="404"/>
        <v>350</v>
      </c>
      <c r="AR283" s="5">
        <f t="shared" si="374"/>
        <v>2.8571428571428572</v>
      </c>
      <c r="AS283" s="5">
        <f t="shared" si="353"/>
        <v>0.42356446633642109</v>
      </c>
      <c r="AT283" s="5">
        <f t="shared" si="354"/>
        <v>2.4335783908064359</v>
      </c>
      <c r="AU283" s="180">
        <f t="shared" si="355"/>
        <v>0.14824756321774737</v>
      </c>
      <c r="CB283" s="582">
        <f t="shared" si="405"/>
        <v>-50</v>
      </c>
    </row>
    <row r="284" spans="5:80" x14ac:dyDescent="0.25">
      <c r="E284" s="177">
        <v>68</v>
      </c>
      <c r="F284" s="224">
        <f t="shared" si="406"/>
        <v>6.8000000000000005E-2</v>
      </c>
      <c r="G284" s="224">
        <f t="shared" si="375"/>
        <v>6.8000000000000005E-2</v>
      </c>
      <c r="H284" s="224">
        <f t="shared" si="376"/>
        <v>0.4284</v>
      </c>
      <c r="I284" s="224">
        <f t="shared" si="377"/>
        <v>1.02</v>
      </c>
      <c r="J284" s="560">
        <f t="shared" si="378"/>
        <v>50</v>
      </c>
      <c r="K284" s="455">
        <f t="shared" si="379"/>
        <v>13.1</v>
      </c>
      <c r="L284" s="455">
        <f t="shared" si="380"/>
        <v>63.1</v>
      </c>
      <c r="M284" s="455"/>
      <c r="N284" s="224">
        <f t="shared" si="381"/>
        <v>0.20760697305863707</v>
      </c>
      <c r="O284" s="179">
        <f t="shared" si="382"/>
        <v>2.0033341889689962</v>
      </c>
      <c r="P284" s="179">
        <f t="shared" si="383"/>
        <v>4.7698433070690385</v>
      </c>
      <c r="Q284" s="224">
        <f t="shared" si="384"/>
        <v>0.31798955380460259</v>
      </c>
      <c r="R284" s="224">
        <f t="shared" si="385"/>
        <v>0.13355561259793308</v>
      </c>
      <c r="S284" s="224">
        <f t="shared" si="386"/>
        <v>6.3</v>
      </c>
      <c r="T284" s="224">
        <f t="shared" si="387"/>
        <v>0.31007307888040714</v>
      </c>
      <c r="U284" s="224">
        <f t="shared" si="388"/>
        <v>0.34108038676844787</v>
      </c>
      <c r="V284" s="224">
        <f t="shared" si="389"/>
        <v>1.3018335372841523</v>
      </c>
      <c r="W284" s="204">
        <f t="shared" si="390"/>
        <v>350</v>
      </c>
      <c r="X284" s="455">
        <f t="shared" si="391"/>
        <v>350</v>
      </c>
      <c r="Z284" s="224">
        <f t="shared" si="392"/>
        <v>0.539238891061395</v>
      </c>
      <c r="AA284" s="180">
        <f t="shared" si="393"/>
        <v>2.2639800769753222</v>
      </c>
      <c r="AB284" s="180">
        <f t="shared" si="394"/>
        <v>0.1263812940814858</v>
      </c>
      <c r="AC284" s="180"/>
      <c r="AD284" s="180">
        <f t="shared" si="395"/>
        <v>1.217557251908397</v>
      </c>
      <c r="AE284" s="564">
        <f t="shared" si="396"/>
        <v>651.11931271265382</v>
      </c>
      <c r="AF284" s="547">
        <f t="shared" si="397"/>
        <v>3.6552440597785188E-2</v>
      </c>
      <c r="AH284" s="180">
        <f t="shared" si="398"/>
        <v>0.38792153444107341</v>
      </c>
      <c r="AI284" s="180">
        <f t="shared" si="399"/>
        <v>0.38792153444107341</v>
      </c>
      <c r="AJ284" s="180">
        <f t="shared" si="400"/>
        <v>1.2725344699563506</v>
      </c>
      <c r="AL284" s="564">
        <f t="shared" si="401"/>
        <v>68</v>
      </c>
      <c r="AM284" s="473">
        <f t="shared" si="402"/>
        <v>350</v>
      </c>
      <c r="AO284">
        <f t="shared" si="403"/>
        <v>68</v>
      </c>
      <c r="AP284">
        <f t="shared" si="404"/>
        <v>350</v>
      </c>
      <c r="AR284" s="5">
        <f t="shared" si="374"/>
        <v>2.8571428571428572</v>
      </c>
      <c r="AS284" s="5">
        <f t="shared" si="353"/>
        <v>0.42671368788518077</v>
      </c>
      <c r="AT284" s="5">
        <f t="shared" si="354"/>
        <v>2.4304291692576765</v>
      </c>
      <c r="AU284" s="180">
        <f t="shared" si="355"/>
        <v>0.14934979075981328</v>
      </c>
      <c r="CB284" s="582">
        <f t="shared" si="405"/>
        <v>-50</v>
      </c>
    </row>
    <row r="285" spans="5:80" x14ac:dyDescent="0.25">
      <c r="E285" s="177">
        <v>69</v>
      </c>
      <c r="F285" s="224">
        <f t="shared" si="406"/>
        <v>6.8999999999999992E-2</v>
      </c>
      <c r="G285" s="224">
        <f t="shared" si="375"/>
        <v>6.8999999999999992E-2</v>
      </c>
      <c r="H285" s="224">
        <f t="shared" si="376"/>
        <v>0.43469999999999992</v>
      </c>
      <c r="I285" s="224">
        <f t="shared" si="377"/>
        <v>1.0349999999999999</v>
      </c>
      <c r="J285" s="560">
        <f t="shared" si="378"/>
        <v>50</v>
      </c>
      <c r="K285" s="455">
        <f t="shared" si="379"/>
        <v>13.1</v>
      </c>
      <c r="L285" s="455">
        <f t="shared" si="380"/>
        <v>63.1</v>
      </c>
      <c r="M285" s="455"/>
      <c r="N285" s="224">
        <f t="shared" si="381"/>
        <v>0.20760697305863707</v>
      </c>
      <c r="O285" s="179">
        <f t="shared" si="382"/>
        <v>2.0033341889689962</v>
      </c>
      <c r="P285" s="179">
        <f t="shared" si="383"/>
        <v>4.7698433070690385</v>
      </c>
      <c r="Q285" s="224">
        <f t="shared" si="384"/>
        <v>0.31798955380460259</v>
      </c>
      <c r="R285" s="224">
        <f t="shared" si="385"/>
        <v>0.13355561259793308</v>
      </c>
      <c r="S285" s="224">
        <f t="shared" si="386"/>
        <v>6.3</v>
      </c>
      <c r="T285" s="224">
        <f t="shared" si="387"/>
        <v>0.3146329770992366</v>
      </c>
      <c r="U285" s="224">
        <f t="shared" si="388"/>
        <v>0.34609627480916028</v>
      </c>
      <c r="V285" s="224">
        <f t="shared" si="389"/>
        <v>1.3209781481265661</v>
      </c>
      <c r="W285" s="204">
        <f t="shared" si="390"/>
        <v>350</v>
      </c>
      <c r="X285" s="455">
        <f t="shared" si="391"/>
        <v>350</v>
      </c>
      <c r="Z285" s="224">
        <f t="shared" si="392"/>
        <v>0.539238891061395</v>
      </c>
      <c r="AA285" s="180">
        <f t="shared" si="393"/>
        <v>2.2639800769753222</v>
      </c>
      <c r="AB285" s="180">
        <f t="shared" si="394"/>
        <v>0.1263812940814858</v>
      </c>
      <c r="AC285" s="180"/>
      <c r="AD285" s="180">
        <f t="shared" si="395"/>
        <v>1.217557251908397</v>
      </c>
      <c r="AE285" s="564">
        <f t="shared" si="396"/>
        <v>660.69459672313394</v>
      </c>
      <c r="AF285" s="547">
        <f t="shared" si="397"/>
        <v>3.6552440597785188E-2</v>
      </c>
      <c r="AH285" s="180">
        <f t="shared" si="398"/>
        <v>0.39076348843783226</v>
      </c>
      <c r="AI285" s="180">
        <f t="shared" si="399"/>
        <v>0.39076348843783226</v>
      </c>
      <c r="AJ285" s="180">
        <f t="shared" si="400"/>
        <v>1.2746396210650608</v>
      </c>
      <c r="AL285" s="564">
        <f t="shared" si="401"/>
        <v>68.999999999999986</v>
      </c>
      <c r="AM285" s="473">
        <f t="shared" si="402"/>
        <v>350</v>
      </c>
      <c r="AO285">
        <f t="shared" si="403"/>
        <v>68.999999999999986</v>
      </c>
      <c r="AP285">
        <f t="shared" si="404"/>
        <v>350</v>
      </c>
      <c r="AR285" s="5">
        <f t="shared" si="374"/>
        <v>2.8571428571428572</v>
      </c>
      <c r="AS285" s="5">
        <f t="shared" si="353"/>
        <v>0.42983983728161551</v>
      </c>
      <c r="AT285" s="5">
        <f t="shared" si="354"/>
        <v>2.4273030198612418</v>
      </c>
      <c r="AU285" s="180">
        <f t="shared" si="355"/>
        <v>0.15044394304856543</v>
      </c>
      <c r="CB285" s="582">
        <f t="shared" si="405"/>
        <v>-50</v>
      </c>
    </row>
    <row r="286" spans="5:80" x14ac:dyDescent="0.25">
      <c r="E286" s="177">
        <v>70</v>
      </c>
      <c r="F286" s="224">
        <f t="shared" si="406"/>
        <v>6.9999999999999993E-2</v>
      </c>
      <c r="G286" s="224">
        <f t="shared" si="375"/>
        <v>6.9999999999999993E-2</v>
      </c>
      <c r="H286" s="224">
        <f t="shared" si="376"/>
        <v>0.44099999999999995</v>
      </c>
      <c r="I286" s="224">
        <f t="shared" si="377"/>
        <v>1.0499999999999998</v>
      </c>
      <c r="J286" s="560">
        <f t="shared" si="378"/>
        <v>50</v>
      </c>
      <c r="K286" s="455">
        <f t="shared" si="379"/>
        <v>13.1</v>
      </c>
      <c r="L286" s="455">
        <f t="shared" si="380"/>
        <v>63.1</v>
      </c>
      <c r="M286" s="455"/>
      <c r="N286" s="224">
        <f t="shared" si="381"/>
        <v>0.20760697305863707</v>
      </c>
      <c r="O286" s="179">
        <f t="shared" si="382"/>
        <v>2.0033341889689962</v>
      </c>
      <c r="P286" s="179">
        <f t="shared" si="383"/>
        <v>4.7698433070690385</v>
      </c>
      <c r="Q286" s="224">
        <f t="shared" si="384"/>
        <v>0.31798955380460259</v>
      </c>
      <c r="R286" s="224">
        <f t="shared" si="385"/>
        <v>0.13355561259793308</v>
      </c>
      <c r="S286" s="224">
        <f t="shared" si="386"/>
        <v>6.3</v>
      </c>
      <c r="T286" s="224">
        <f t="shared" si="387"/>
        <v>0.31919287531806612</v>
      </c>
      <c r="U286" s="224">
        <f t="shared" si="388"/>
        <v>0.35111216284987273</v>
      </c>
      <c r="V286" s="224">
        <f t="shared" si="389"/>
        <v>1.3401227589689799</v>
      </c>
      <c r="W286" s="204">
        <f t="shared" si="390"/>
        <v>350</v>
      </c>
      <c r="X286" s="455">
        <f t="shared" si="391"/>
        <v>350</v>
      </c>
      <c r="Z286" s="224">
        <f t="shared" si="392"/>
        <v>0.539238891061395</v>
      </c>
      <c r="AA286" s="180">
        <f t="shared" si="393"/>
        <v>2.2639800769753222</v>
      </c>
      <c r="AB286" s="180">
        <f t="shared" si="394"/>
        <v>0.1263812940814858</v>
      </c>
      <c r="AC286" s="180"/>
      <c r="AD286" s="180">
        <f t="shared" si="395"/>
        <v>1.217557251908397</v>
      </c>
      <c r="AE286" s="564">
        <f t="shared" si="396"/>
        <v>670.26988073361417</v>
      </c>
      <c r="AF286" s="547">
        <f t="shared" si="397"/>
        <v>3.6552440597785188E-2</v>
      </c>
      <c r="AH286" s="180">
        <f t="shared" si="398"/>
        <v>0.39358492210587903</v>
      </c>
      <c r="AI286" s="180">
        <f t="shared" si="399"/>
        <v>0.39358492210587903</v>
      </c>
      <c r="AJ286" s="180">
        <f t="shared" si="400"/>
        <v>1.2767295719302807</v>
      </c>
      <c r="AL286" s="564">
        <f t="shared" si="401"/>
        <v>69.999999999999986</v>
      </c>
      <c r="AM286" s="473">
        <f t="shared" si="402"/>
        <v>350</v>
      </c>
      <c r="AO286">
        <f t="shared" si="403"/>
        <v>69.999999999999986</v>
      </c>
      <c r="AP286">
        <f t="shared" si="404"/>
        <v>350</v>
      </c>
      <c r="AR286" s="5">
        <f t="shared" si="374"/>
        <v>2.8571428571428572</v>
      </c>
      <c r="AS286" s="5">
        <f t="shared" si="353"/>
        <v>0.43294341431646699</v>
      </c>
      <c r="AT286" s="5">
        <f t="shared" si="354"/>
        <v>2.4241994428263904</v>
      </c>
      <c r="AU286" s="180">
        <f t="shared" si="355"/>
        <v>0.15153019501076345</v>
      </c>
      <c r="CB286" s="582">
        <f t="shared" si="405"/>
        <v>-50</v>
      </c>
    </row>
    <row r="287" spans="5:80" x14ac:dyDescent="0.25">
      <c r="E287" s="177">
        <v>71</v>
      </c>
      <c r="F287" s="224">
        <f t="shared" si="406"/>
        <v>7.0999999999999994E-2</v>
      </c>
      <c r="G287" s="224">
        <f t="shared" si="375"/>
        <v>7.0999999999999994E-2</v>
      </c>
      <c r="H287" s="224">
        <f t="shared" si="376"/>
        <v>0.44729999999999992</v>
      </c>
      <c r="I287" s="224">
        <f t="shared" si="377"/>
        <v>1.0649999999999999</v>
      </c>
      <c r="J287" s="560">
        <f t="shared" si="378"/>
        <v>50</v>
      </c>
      <c r="K287" s="455">
        <f t="shared" si="379"/>
        <v>13.1</v>
      </c>
      <c r="L287" s="455">
        <f t="shared" si="380"/>
        <v>63.1</v>
      </c>
      <c r="M287" s="455"/>
      <c r="N287" s="224">
        <f t="shared" si="381"/>
        <v>0.20760697305863707</v>
      </c>
      <c r="O287" s="179">
        <f t="shared" si="382"/>
        <v>2.0033341889689962</v>
      </c>
      <c r="P287" s="179">
        <f t="shared" si="383"/>
        <v>4.7698433070690385</v>
      </c>
      <c r="Q287" s="224">
        <f t="shared" si="384"/>
        <v>0.31798955380460259</v>
      </c>
      <c r="R287" s="224">
        <f t="shared" si="385"/>
        <v>0.13355561259793308</v>
      </c>
      <c r="S287" s="224">
        <f t="shared" si="386"/>
        <v>6.3</v>
      </c>
      <c r="T287" s="224">
        <f t="shared" si="387"/>
        <v>0.32375277353689563</v>
      </c>
      <c r="U287" s="224">
        <f t="shared" si="388"/>
        <v>0.35612805089058525</v>
      </c>
      <c r="V287" s="224">
        <f t="shared" si="389"/>
        <v>1.359267369811394</v>
      </c>
      <c r="W287" s="204">
        <f t="shared" si="390"/>
        <v>350</v>
      </c>
      <c r="X287" s="455">
        <f t="shared" si="391"/>
        <v>350</v>
      </c>
      <c r="Z287" s="224">
        <f t="shared" si="392"/>
        <v>0.539238891061395</v>
      </c>
      <c r="AA287" s="180">
        <f t="shared" si="393"/>
        <v>2.2639800769753222</v>
      </c>
      <c r="AB287" s="180">
        <f t="shared" si="394"/>
        <v>0.1263812940814858</v>
      </c>
      <c r="AC287" s="180"/>
      <c r="AD287" s="180">
        <f t="shared" si="395"/>
        <v>1.217557251908397</v>
      </c>
      <c r="AE287" s="564">
        <f t="shared" si="396"/>
        <v>679.8451647440944</v>
      </c>
      <c r="AF287" s="547">
        <f t="shared" si="397"/>
        <v>3.6552440597785188E-2</v>
      </c>
      <c r="AH287" s="180">
        <f t="shared" si="398"/>
        <v>0.39638627362974854</v>
      </c>
      <c r="AI287" s="180">
        <f t="shared" si="399"/>
        <v>0.39638627362974854</v>
      </c>
      <c r="AJ287" s="180">
        <f t="shared" si="400"/>
        <v>1.2788046471331471</v>
      </c>
      <c r="AL287" s="564">
        <f t="shared" si="401"/>
        <v>71</v>
      </c>
      <c r="AM287" s="473">
        <f t="shared" si="402"/>
        <v>350</v>
      </c>
      <c r="AO287">
        <f t="shared" si="403"/>
        <v>71</v>
      </c>
      <c r="AP287">
        <f t="shared" si="404"/>
        <v>350</v>
      </c>
      <c r="AR287" s="5">
        <f t="shared" si="374"/>
        <v>2.8571428571428572</v>
      </c>
      <c r="AS287" s="5">
        <f t="shared" si="353"/>
        <v>0.43602490099272345</v>
      </c>
      <c r="AT287" s="5">
        <f t="shared" si="354"/>
        <v>2.4211179561501339</v>
      </c>
      <c r="AU287" s="180">
        <f t="shared" si="355"/>
        <v>0.15260871534745321</v>
      </c>
      <c r="CB287" s="582">
        <f t="shared" si="405"/>
        <v>-50</v>
      </c>
    </row>
    <row r="288" spans="5:80" x14ac:dyDescent="0.25">
      <c r="E288" s="177">
        <v>72</v>
      </c>
      <c r="F288" s="224">
        <f t="shared" si="406"/>
        <v>7.1999999999999995E-2</v>
      </c>
      <c r="G288" s="224">
        <f t="shared" si="375"/>
        <v>7.1999999999999995E-2</v>
      </c>
      <c r="H288" s="224">
        <f t="shared" si="376"/>
        <v>0.45359999999999995</v>
      </c>
      <c r="I288" s="224">
        <f t="shared" si="377"/>
        <v>1.0799999999999998</v>
      </c>
      <c r="J288" s="560">
        <f t="shared" si="378"/>
        <v>50</v>
      </c>
      <c r="K288" s="455">
        <f t="shared" si="379"/>
        <v>13.1</v>
      </c>
      <c r="L288" s="455">
        <f t="shared" si="380"/>
        <v>63.1</v>
      </c>
      <c r="M288" s="455"/>
      <c r="N288" s="224">
        <f t="shared" si="381"/>
        <v>0.20760697305863707</v>
      </c>
      <c r="O288" s="179">
        <f t="shared" si="382"/>
        <v>2.0033341889689962</v>
      </c>
      <c r="P288" s="179">
        <f t="shared" si="383"/>
        <v>4.7698433070690385</v>
      </c>
      <c r="Q288" s="224">
        <f t="shared" si="384"/>
        <v>0.31798955380460259</v>
      </c>
      <c r="R288" s="224">
        <f t="shared" si="385"/>
        <v>0.13355561259793308</v>
      </c>
      <c r="S288" s="224">
        <f t="shared" si="386"/>
        <v>6.3</v>
      </c>
      <c r="T288" s="224">
        <f t="shared" si="387"/>
        <v>0.32831267175572521</v>
      </c>
      <c r="U288" s="224">
        <f t="shared" si="388"/>
        <v>0.36114393893129776</v>
      </c>
      <c r="V288" s="224">
        <f t="shared" si="389"/>
        <v>1.3784119806538082</v>
      </c>
      <c r="W288" s="204">
        <f t="shared" si="390"/>
        <v>350</v>
      </c>
      <c r="X288" s="455">
        <f t="shared" si="391"/>
        <v>350</v>
      </c>
      <c r="Z288" s="224">
        <f t="shared" si="392"/>
        <v>0.539238891061395</v>
      </c>
      <c r="AA288" s="180">
        <f t="shared" si="393"/>
        <v>2.2639800769753222</v>
      </c>
      <c r="AB288" s="180">
        <f t="shared" si="394"/>
        <v>0.1263812940814858</v>
      </c>
      <c r="AC288" s="180"/>
      <c r="AD288" s="180">
        <f t="shared" si="395"/>
        <v>1.217557251908397</v>
      </c>
      <c r="AE288" s="564">
        <f t="shared" si="396"/>
        <v>689.42044875457464</v>
      </c>
      <c r="AF288" s="547">
        <f t="shared" si="397"/>
        <v>3.6552440597785188E-2</v>
      </c>
      <c r="AH288" s="180">
        <f t="shared" si="398"/>
        <v>0.39916796581773056</v>
      </c>
      <c r="AI288" s="180">
        <f t="shared" si="399"/>
        <v>0.39916796581773056</v>
      </c>
      <c r="AJ288" s="180">
        <f t="shared" si="400"/>
        <v>1.2808651598649856</v>
      </c>
      <c r="AL288" s="564">
        <f t="shared" si="401"/>
        <v>72</v>
      </c>
      <c r="AM288" s="473">
        <f t="shared" si="402"/>
        <v>350</v>
      </c>
      <c r="AO288">
        <f t="shared" si="403"/>
        <v>72</v>
      </c>
      <c r="AP288">
        <f t="shared" si="404"/>
        <v>350</v>
      </c>
      <c r="AR288" s="5">
        <f t="shared" si="374"/>
        <v>2.8571428571428572</v>
      </c>
      <c r="AS288" s="5">
        <f t="shared" si="353"/>
        <v>0.43908476239950361</v>
      </c>
      <c r="AT288" s="5">
        <f t="shared" si="354"/>
        <v>2.4180580947433534</v>
      </c>
      <c r="AU288" s="180">
        <f t="shared" si="355"/>
        <v>0.15367966683982626</v>
      </c>
      <c r="CB288" s="582">
        <f t="shared" si="405"/>
        <v>-50</v>
      </c>
    </row>
    <row r="289" spans="5:80" x14ac:dyDescent="0.25">
      <c r="E289" s="177">
        <v>73</v>
      </c>
      <c r="F289" s="224">
        <f t="shared" si="406"/>
        <v>7.2999999999999995E-2</v>
      </c>
      <c r="G289" s="224">
        <f t="shared" si="375"/>
        <v>7.2999999999999995E-2</v>
      </c>
      <c r="H289" s="224">
        <f t="shared" si="376"/>
        <v>0.45989999999999998</v>
      </c>
      <c r="I289" s="224">
        <f t="shared" si="377"/>
        <v>1.095</v>
      </c>
      <c r="J289" s="560">
        <f t="shared" si="378"/>
        <v>50</v>
      </c>
      <c r="K289" s="455">
        <f t="shared" si="379"/>
        <v>13.1</v>
      </c>
      <c r="L289" s="455">
        <f t="shared" si="380"/>
        <v>63.1</v>
      </c>
      <c r="M289" s="455"/>
      <c r="N289" s="224">
        <f t="shared" si="381"/>
        <v>0.20760697305863707</v>
      </c>
      <c r="O289" s="179">
        <f t="shared" si="382"/>
        <v>2.0033341889689962</v>
      </c>
      <c r="P289" s="179">
        <f t="shared" si="383"/>
        <v>4.7698433070690385</v>
      </c>
      <c r="Q289" s="224">
        <f t="shared" si="384"/>
        <v>0.31798955380460259</v>
      </c>
      <c r="R289" s="224">
        <f t="shared" si="385"/>
        <v>0.13355561259793308</v>
      </c>
      <c r="S289" s="224">
        <f t="shared" si="386"/>
        <v>6.3</v>
      </c>
      <c r="T289" s="224">
        <f t="shared" si="387"/>
        <v>0.33287256997455472</v>
      </c>
      <c r="U289" s="224">
        <f t="shared" si="388"/>
        <v>0.36615982697201016</v>
      </c>
      <c r="V289" s="224">
        <f t="shared" si="389"/>
        <v>1.397556591496222</v>
      </c>
      <c r="W289" s="204">
        <f t="shared" si="390"/>
        <v>350</v>
      </c>
      <c r="X289" s="455">
        <f t="shared" si="391"/>
        <v>350</v>
      </c>
      <c r="Z289" s="224">
        <f t="shared" si="392"/>
        <v>0.539238891061395</v>
      </c>
      <c r="AA289" s="180">
        <f t="shared" si="393"/>
        <v>2.2639800769753222</v>
      </c>
      <c r="AB289" s="180">
        <f t="shared" si="394"/>
        <v>0.1263812940814858</v>
      </c>
      <c r="AC289" s="180"/>
      <c r="AD289" s="180">
        <f t="shared" si="395"/>
        <v>1.217557251908397</v>
      </c>
      <c r="AE289" s="564">
        <f t="shared" si="396"/>
        <v>698.99573276505487</v>
      </c>
      <c r="AF289" s="547">
        <f t="shared" si="397"/>
        <v>3.6552440597785188E-2</v>
      </c>
      <c r="AH289" s="180">
        <f t="shared" si="398"/>
        <v>0.40193040684682213</v>
      </c>
      <c r="AI289" s="180">
        <f t="shared" si="399"/>
        <v>0.40193040684682213</v>
      </c>
      <c r="AJ289" s="180">
        <f t="shared" si="400"/>
        <v>1.2829114124791274</v>
      </c>
      <c r="AL289" s="564">
        <f t="shared" si="401"/>
        <v>73</v>
      </c>
      <c r="AM289" s="473">
        <f t="shared" si="402"/>
        <v>350</v>
      </c>
      <c r="AO289">
        <f t="shared" si="403"/>
        <v>73</v>
      </c>
      <c r="AP289">
        <f t="shared" si="404"/>
        <v>350</v>
      </c>
      <c r="AR289" s="5">
        <f t="shared" si="374"/>
        <v>2.8571428571428572</v>
      </c>
      <c r="AS289" s="5">
        <f t="shared" si="353"/>
        <v>0.44212344753150434</v>
      </c>
      <c r="AT289" s="5">
        <f t="shared" si="354"/>
        <v>2.4150194096113529</v>
      </c>
      <c r="AU289" s="180">
        <f t="shared" si="355"/>
        <v>0.1547432066360265</v>
      </c>
      <c r="CB289" s="582">
        <f t="shared" si="405"/>
        <v>-50</v>
      </c>
    </row>
    <row r="290" spans="5:80" x14ac:dyDescent="0.25">
      <c r="E290" s="177">
        <v>74</v>
      </c>
      <c r="F290" s="224">
        <f t="shared" si="406"/>
        <v>7.3999999999999996E-2</v>
      </c>
      <c r="G290" s="224">
        <f t="shared" si="375"/>
        <v>7.3999999999999996E-2</v>
      </c>
      <c r="H290" s="224">
        <f t="shared" si="376"/>
        <v>0.46619999999999995</v>
      </c>
      <c r="I290" s="224">
        <f t="shared" si="377"/>
        <v>1.1099999999999999</v>
      </c>
      <c r="J290" s="560">
        <f t="shared" si="378"/>
        <v>50</v>
      </c>
      <c r="K290" s="455">
        <f t="shared" si="379"/>
        <v>13.1</v>
      </c>
      <c r="L290" s="455">
        <f t="shared" si="380"/>
        <v>63.1</v>
      </c>
      <c r="M290" s="455"/>
      <c r="N290" s="224">
        <f t="shared" si="381"/>
        <v>0.20760697305863707</v>
      </c>
      <c r="O290" s="179">
        <f t="shared" si="382"/>
        <v>2.0033341889689962</v>
      </c>
      <c r="P290" s="179">
        <f t="shared" si="383"/>
        <v>4.7698433070690385</v>
      </c>
      <c r="Q290" s="224">
        <f t="shared" si="384"/>
        <v>0.31798955380460259</v>
      </c>
      <c r="R290" s="224">
        <f t="shared" si="385"/>
        <v>0.13355561259793308</v>
      </c>
      <c r="S290" s="224">
        <f t="shared" si="386"/>
        <v>6.3</v>
      </c>
      <c r="T290" s="224">
        <f t="shared" si="387"/>
        <v>0.33743246819338424</v>
      </c>
      <c r="U290" s="224">
        <f t="shared" si="388"/>
        <v>0.37117571501272267</v>
      </c>
      <c r="V290" s="224">
        <f t="shared" si="389"/>
        <v>1.4167012023386363</v>
      </c>
      <c r="W290" s="204">
        <f t="shared" si="390"/>
        <v>350</v>
      </c>
      <c r="X290" s="455">
        <f t="shared" si="391"/>
        <v>350</v>
      </c>
      <c r="Z290" s="224">
        <f t="shared" si="392"/>
        <v>0.539238891061395</v>
      </c>
      <c r="AA290" s="180">
        <f t="shared" si="393"/>
        <v>2.2639800769753222</v>
      </c>
      <c r="AB290" s="180">
        <f t="shared" si="394"/>
        <v>0.1263812940814858</v>
      </c>
      <c r="AC290" s="180"/>
      <c r="AD290" s="180">
        <f t="shared" si="395"/>
        <v>1.217557251908397</v>
      </c>
      <c r="AE290" s="564">
        <f t="shared" si="396"/>
        <v>708.5710167755351</v>
      </c>
      <c r="AF290" s="547">
        <f t="shared" si="397"/>
        <v>3.6552440597785188E-2</v>
      </c>
      <c r="AH290" s="180">
        <f t="shared" si="398"/>
        <v>0.40467399096190865</v>
      </c>
      <c r="AI290" s="180">
        <f t="shared" si="399"/>
        <v>0.40467399096190865</v>
      </c>
      <c r="AJ290" s="180">
        <f t="shared" si="400"/>
        <v>1.2849436970088213</v>
      </c>
      <c r="AL290" s="564">
        <f t="shared" si="401"/>
        <v>74</v>
      </c>
      <c r="AM290" s="473">
        <f t="shared" si="402"/>
        <v>350</v>
      </c>
      <c r="AO290">
        <f t="shared" si="403"/>
        <v>74</v>
      </c>
      <c r="AP290">
        <f t="shared" si="404"/>
        <v>350</v>
      </c>
      <c r="AR290" s="5">
        <f t="shared" si="374"/>
        <v>2.8571428571428572</v>
      </c>
      <c r="AS290" s="5">
        <f t="shared" si="353"/>
        <v>0.44514139005809955</v>
      </c>
      <c r="AT290" s="5">
        <f t="shared" si="354"/>
        <v>2.4120014670847576</v>
      </c>
      <c r="AU290" s="180">
        <f t="shared" si="355"/>
        <v>0.15579948652033485</v>
      </c>
      <c r="CB290" s="582">
        <f t="shared" si="405"/>
        <v>-50</v>
      </c>
    </row>
    <row r="291" spans="5:80" x14ac:dyDescent="0.25">
      <c r="E291" s="177">
        <v>75</v>
      </c>
      <c r="F291" s="224">
        <f t="shared" si="406"/>
        <v>7.5000000000000011E-2</v>
      </c>
      <c r="G291" s="224">
        <f t="shared" si="375"/>
        <v>7.5000000000000011E-2</v>
      </c>
      <c r="H291" s="224">
        <f t="shared" si="376"/>
        <v>0.47250000000000003</v>
      </c>
      <c r="I291" s="224">
        <f t="shared" si="377"/>
        <v>1.1250000000000002</v>
      </c>
      <c r="J291" s="560">
        <f t="shared" si="378"/>
        <v>50</v>
      </c>
      <c r="K291" s="455">
        <f t="shared" si="379"/>
        <v>13.1</v>
      </c>
      <c r="L291" s="455">
        <f t="shared" si="380"/>
        <v>63.1</v>
      </c>
      <c r="M291" s="455"/>
      <c r="N291" s="224">
        <f t="shared" si="381"/>
        <v>0.20760697305863707</v>
      </c>
      <c r="O291" s="179">
        <f t="shared" si="382"/>
        <v>2.0033341889689962</v>
      </c>
      <c r="P291" s="179">
        <f t="shared" si="383"/>
        <v>4.7698433070690385</v>
      </c>
      <c r="Q291" s="224">
        <f t="shared" si="384"/>
        <v>0.31798955380460259</v>
      </c>
      <c r="R291" s="224">
        <f t="shared" si="385"/>
        <v>0.13355561259793308</v>
      </c>
      <c r="S291" s="224">
        <f t="shared" si="386"/>
        <v>6.3</v>
      </c>
      <c r="T291" s="224">
        <f t="shared" si="387"/>
        <v>0.34199236641221381</v>
      </c>
      <c r="U291" s="224">
        <f t="shared" si="388"/>
        <v>0.37619160305343524</v>
      </c>
      <c r="V291" s="224">
        <f t="shared" si="389"/>
        <v>1.4358458131810505</v>
      </c>
      <c r="W291" s="204">
        <f t="shared" si="390"/>
        <v>350</v>
      </c>
      <c r="X291" s="455">
        <f t="shared" si="391"/>
        <v>350</v>
      </c>
      <c r="Z291" s="224">
        <f t="shared" si="392"/>
        <v>0.539238891061395</v>
      </c>
      <c r="AA291" s="180">
        <f t="shared" si="393"/>
        <v>2.2639800769753222</v>
      </c>
      <c r="AB291" s="180">
        <f t="shared" si="394"/>
        <v>0.1263812940814858</v>
      </c>
      <c r="AC291" s="180"/>
      <c r="AD291" s="180">
        <f t="shared" si="395"/>
        <v>1.217557251908397</v>
      </c>
      <c r="AE291" s="564">
        <f t="shared" si="396"/>
        <v>718.14630078601533</v>
      </c>
      <c r="AF291" s="547">
        <f t="shared" si="397"/>
        <v>3.6552440597785188E-2</v>
      </c>
      <c r="AH291" s="180">
        <f t="shared" si="398"/>
        <v>0.40739909913256556</v>
      </c>
      <c r="AI291" s="180">
        <f t="shared" si="399"/>
        <v>0.40739909913256556</v>
      </c>
      <c r="AJ291" s="180">
        <f t="shared" si="400"/>
        <v>1.2869622956537523</v>
      </c>
      <c r="AL291" s="564">
        <f t="shared" si="401"/>
        <v>75.000000000000014</v>
      </c>
      <c r="AM291" s="473">
        <f t="shared" si="402"/>
        <v>350</v>
      </c>
      <c r="AO291">
        <f t="shared" si="403"/>
        <v>75.000000000000014</v>
      </c>
      <c r="AP291">
        <f t="shared" si="404"/>
        <v>350</v>
      </c>
      <c r="AR291" s="5">
        <f t="shared" si="374"/>
        <v>2.8571428571428572</v>
      </c>
      <c r="AS291" s="5">
        <f t="shared" si="353"/>
        <v>0.4481390090458221</v>
      </c>
      <c r="AT291" s="5">
        <f t="shared" si="354"/>
        <v>2.409003848097035</v>
      </c>
      <c r="AU291" s="180">
        <f t="shared" si="355"/>
        <v>0.15684865316603774</v>
      </c>
      <c r="CB291" s="582">
        <f t="shared" si="405"/>
        <v>-50</v>
      </c>
    </row>
    <row r="292" spans="5:80" x14ac:dyDescent="0.25">
      <c r="E292" s="177">
        <v>76</v>
      </c>
      <c r="F292" s="224">
        <f t="shared" si="406"/>
        <v>7.6000000000000012E-2</v>
      </c>
      <c r="G292" s="224">
        <f t="shared" si="375"/>
        <v>7.6000000000000012E-2</v>
      </c>
      <c r="H292" s="224">
        <f t="shared" si="376"/>
        <v>0.47880000000000006</v>
      </c>
      <c r="I292" s="224">
        <f t="shared" si="377"/>
        <v>1.1400000000000001</v>
      </c>
      <c r="J292" s="560">
        <f t="shared" si="378"/>
        <v>50</v>
      </c>
      <c r="K292" s="455">
        <f t="shared" si="379"/>
        <v>13.1</v>
      </c>
      <c r="L292" s="455">
        <f t="shared" si="380"/>
        <v>63.1</v>
      </c>
      <c r="M292" s="455"/>
      <c r="N292" s="224">
        <f t="shared" si="381"/>
        <v>0.20760697305863707</v>
      </c>
      <c r="O292" s="179">
        <f t="shared" si="382"/>
        <v>2.0033341889689962</v>
      </c>
      <c r="P292" s="179">
        <f t="shared" si="383"/>
        <v>4.7698433070690385</v>
      </c>
      <c r="Q292" s="224">
        <f t="shared" si="384"/>
        <v>0.31798955380460259</v>
      </c>
      <c r="R292" s="224">
        <f t="shared" si="385"/>
        <v>0.13355561259793308</v>
      </c>
      <c r="S292" s="224">
        <f t="shared" si="386"/>
        <v>6.3</v>
      </c>
      <c r="T292" s="224">
        <f t="shared" si="387"/>
        <v>0.34655226463104333</v>
      </c>
      <c r="U292" s="224">
        <f t="shared" si="388"/>
        <v>0.3812074910941477</v>
      </c>
      <c r="V292" s="224">
        <f t="shared" si="389"/>
        <v>1.4549904240234643</v>
      </c>
      <c r="W292" s="204">
        <f t="shared" si="390"/>
        <v>350</v>
      </c>
      <c r="X292" s="455">
        <f t="shared" si="391"/>
        <v>350</v>
      </c>
      <c r="Z292" s="224">
        <f t="shared" si="392"/>
        <v>0.539238891061395</v>
      </c>
      <c r="AA292" s="180">
        <f t="shared" si="393"/>
        <v>2.2639800769753222</v>
      </c>
      <c r="AB292" s="180">
        <f t="shared" si="394"/>
        <v>0.1263812940814858</v>
      </c>
      <c r="AC292" s="180"/>
      <c r="AD292" s="180">
        <f t="shared" si="395"/>
        <v>1.217557251908397</v>
      </c>
      <c r="AE292" s="564">
        <f t="shared" si="396"/>
        <v>727.72158479649556</v>
      </c>
      <c r="AF292" s="547">
        <f t="shared" si="397"/>
        <v>3.6552440597785188E-2</v>
      </c>
      <c r="AH292" s="180">
        <f t="shared" si="398"/>
        <v>0.41010609967057676</v>
      </c>
      <c r="AI292" s="180">
        <f t="shared" si="399"/>
        <v>0.41010609967057676</v>
      </c>
      <c r="AJ292" s="180">
        <f t="shared" si="400"/>
        <v>1.2889674812374643</v>
      </c>
      <c r="AL292" s="564">
        <f t="shared" si="401"/>
        <v>76.000000000000014</v>
      </c>
      <c r="AM292" s="473">
        <f t="shared" si="402"/>
        <v>350</v>
      </c>
      <c r="AO292">
        <f t="shared" si="403"/>
        <v>76.000000000000014</v>
      </c>
      <c r="AP292">
        <f t="shared" si="404"/>
        <v>350</v>
      </c>
      <c r="AR292" s="5">
        <f t="shared" si="374"/>
        <v>2.8571428571428572</v>
      </c>
      <c r="AS292" s="5">
        <f t="shared" si="353"/>
        <v>0.45111670963763451</v>
      </c>
      <c r="AT292" s="5">
        <f t="shared" si="354"/>
        <v>2.4060261475052229</v>
      </c>
      <c r="AU292" s="180">
        <f t="shared" si="355"/>
        <v>0.15789084837317208</v>
      </c>
      <c r="CB292" s="582">
        <f t="shared" si="405"/>
        <v>-50</v>
      </c>
    </row>
    <row r="293" spans="5:80" x14ac:dyDescent="0.25">
      <c r="E293" s="177">
        <v>77</v>
      </c>
      <c r="F293" s="224">
        <f t="shared" si="406"/>
        <v>7.7000000000000013E-2</v>
      </c>
      <c r="G293" s="224">
        <f t="shared" si="375"/>
        <v>7.7000000000000013E-2</v>
      </c>
      <c r="H293" s="224">
        <f t="shared" si="376"/>
        <v>0.48510000000000009</v>
      </c>
      <c r="I293" s="224">
        <f t="shared" si="377"/>
        <v>1.1550000000000002</v>
      </c>
      <c r="J293" s="560">
        <f t="shared" si="378"/>
        <v>50</v>
      </c>
      <c r="K293" s="455">
        <f t="shared" si="379"/>
        <v>13.1</v>
      </c>
      <c r="L293" s="455">
        <f t="shared" si="380"/>
        <v>63.1</v>
      </c>
      <c r="M293" s="455"/>
      <c r="N293" s="224">
        <f t="shared" si="381"/>
        <v>0.20760697305863707</v>
      </c>
      <c r="O293" s="179">
        <f t="shared" si="382"/>
        <v>2.0033341889689962</v>
      </c>
      <c r="P293" s="179">
        <f t="shared" si="383"/>
        <v>4.7698433070690385</v>
      </c>
      <c r="Q293" s="224">
        <f t="shared" si="384"/>
        <v>0.31798955380460259</v>
      </c>
      <c r="R293" s="224">
        <f t="shared" si="385"/>
        <v>0.13355561259793308</v>
      </c>
      <c r="S293" s="224">
        <f t="shared" si="386"/>
        <v>6.3</v>
      </c>
      <c r="T293" s="224">
        <f t="shared" si="387"/>
        <v>0.3511121628498729</v>
      </c>
      <c r="U293" s="224">
        <f t="shared" si="388"/>
        <v>0.38622337913486021</v>
      </c>
      <c r="V293" s="224">
        <f t="shared" si="389"/>
        <v>1.4741350348658788</v>
      </c>
      <c r="W293" s="204">
        <f t="shared" si="390"/>
        <v>350</v>
      </c>
      <c r="X293" s="455">
        <f t="shared" si="391"/>
        <v>350</v>
      </c>
      <c r="Z293" s="224">
        <f t="shared" si="392"/>
        <v>0.539238891061395</v>
      </c>
      <c r="AA293" s="180">
        <f t="shared" si="393"/>
        <v>2.2639800769753222</v>
      </c>
      <c r="AB293" s="180">
        <f t="shared" si="394"/>
        <v>0.1263812940814858</v>
      </c>
      <c r="AC293" s="180"/>
      <c r="AD293" s="180">
        <f t="shared" si="395"/>
        <v>1.217557251908397</v>
      </c>
      <c r="AE293" s="564">
        <f t="shared" si="396"/>
        <v>737.29686880697579</v>
      </c>
      <c r="AF293" s="547">
        <f t="shared" si="397"/>
        <v>3.6552440597785188E-2</v>
      </c>
      <c r="AH293" s="180">
        <f t="shared" si="398"/>
        <v>0.41279534881100588</v>
      </c>
      <c r="AI293" s="180">
        <f t="shared" si="399"/>
        <v>0.41279534881100588</v>
      </c>
      <c r="AJ293" s="180">
        <f t="shared" si="400"/>
        <v>1.2909595176377822</v>
      </c>
      <c r="AL293" s="564">
        <f t="shared" si="401"/>
        <v>77.000000000000014</v>
      </c>
      <c r="AM293" s="473">
        <f t="shared" si="402"/>
        <v>350</v>
      </c>
      <c r="AO293">
        <f t="shared" si="403"/>
        <v>77.000000000000014</v>
      </c>
      <c r="AP293">
        <f t="shared" si="404"/>
        <v>350</v>
      </c>
      <c r="AR293" s="5">
        <f t="shared" si="374"/>
        <v>2.8571428571428572</v>
      </c>
      <c r="AS293" s="5">
        <f t="shared" si="353"/>
        <v>0.45407488369210647</v>
      </c>
      <c r="AT293" s="5">
        <f t="shared" si="354"/>
        <v>2.4030679734507507</v>
      </c>
      <c r="AU293" s="180">
        <f t="shared" si="355"/>
        <v>0.15892620929223725</v>
      </c>
      <c r="CB293" s="582">
        <f t="shared" si="405"/>
        <v>-50</v>
      </c>
    </row>
    <row r="294" spans="5:80" x14ac:dyDescent="0.25">
      <c r="E294" s="177">
        <v>78</v>
      </c>
      <c r="F294" s="224">
        <f t="shared" si="406"/>
        <v>7.8000000000000014E-2</v>
      </c>
      <c r="G294" s="224">
        <f t="shared" si="375"/>
        <v>7.8000000000000014E-2</v>
      </c>
      <c r="H294" s="224">
        <f t="shared" si="376"/>
        <v>0.49140000000000006</v>
      </c>
      <c r="I294" s="224">
        <f t="shared" si="377"/>
        <v>1.1700000000000002</v>
      </c>
      <c r="J294" s="560">
        <f t="shared" si="378"/>
        <v>50</v>
      </c>
      <c r="K294" s="455">
        <f t="shared" si="379"/>
        <v>13.1</v>
      </c>
      <c r="L294" s="455">
        <f t="shared" si="380"/>
        <v>63.1</v>
      </c>
      <c r="M294" s="455"/>
      <c r="N294" s="224">
        <f t="shared" si="381"/>
        <v>0.20760697305863707</v>
      </c>
      <c r="O294" s="179">
        <f t="shared" si="382"/>
        <v>2.0033341889689962</v>
      </c>
      <c r="P294" s="179">
        <f t="shared" si="383"/>
        <v>4.7698433070690385</v>
      </c>
      <c r="Q294" s="224">
        <f t="shared" si="384"/>
        <v>0.31798955380460259</v>
      </c>
      <c r="R294" s="224">
        <f t="shared" si="385"/>
        <v>0.13355561259793308</v>
      </c>
      <c r="S294" s="224">
        <f t="shared" si="386"/>
        <v>6.3</v>
      </c>
      <c r="T294" s="224">
        <f t="shared" si="387"/>
        <v>0.35567206106870236</v>
      </c>
      <c r="U294" s="224">
        <f t="shared" si="388"/>
        <v>0.39123926717557267</v>
      </c>
      <c r="V294" s="224">
        <f t="shared" si="389"/>
        <v>1.4932796457082924</v>
      </c>
      <c r="W294" s="204">
        <f t="shared" si="390"/>
        <v>350</v>
      </c>
      <c r="X294" s="455">
        <f t="shared" si="391"/>
        <v>350</v>
      </c>
      <c r="Z294" s="224">
        <f t="shared" si="392"/>
        <v>0.539238891061395</v>
      </c>
      <c r="AA294" s="180">
        <f t="shared" si="393"/>
        <v>2.2639800769753222</v>
      </c>
      <c r="AB294" s="180">
        <f t="shared" si="394"/>
        <v>0.1263812940814858</v>
      </c>
      <c r="AC294" s="180"/>
      <c r="AD294" s="180">
        <f t="shared" si="395"/>
        <v>1.217557251908397</v>
      </c>
      <c r="AE294" s="564">
        <f t="shared" si="396"/>
        <v>746.87215281745591</v>
      </c>
      <c r="AF294" s="547">
        <f t="shared" si="397"/>
        <v>3.6552440597785188E-2</v>
      </c>
      <c r="AH294" s="180">
        <f t="shared" si="398"/>
        <v>0.41546719125941461</v>
      </c>
      <c r="AI294" s="180">
        <f t="shared" si="399"/>
        <v>0.41546719125941461</v>
      </c>
      <c r="AJ294" s="180">
        <f t="shared" si="400"/>
        <v>1.2929386601921589</v>
      </c>
      <c r="AL294" s="564">
        <f t="shared" si="401"/>
        <v>78.000000000000014</v>
      </c>
      <c r="AM294" s="473">
        <f t="shared" si="402"/>
        <v>350</v>
      </c>
      <c r="AO294">
        <f t="shared" si="403"/>
        <v>78.000000000000014</v>
      </c>
      <c r="AP294">
        <f t="shared" si="404"/>
        <v>350</v>
      </c>
      <c r="AR294" s="5">
        <f t="shared" si="374"/>
        <v>2.8571428571428572</v>
      </c>
      <c r="AS294" s="5">
        <f t="shared" si="353"/>
        <v>0.45701391038535605</v>
      </c>
      <c r="AT294" s="5">
        <f t="shared" si="354"/>
        <v>2.4001289467575013</v>
      </c>
      <c r="AU294" s="180">
        <f t="shared" si="355"/>
        <v>0.15995486863487463</v>
      </c>
      <c r="CB294" s="582">
        <f t="shared" si="405"/>
        <v>-50</v>
      </c>
    </row>
    <row r="295" spans="5:80" x14ac:dyDescent="0.25">
      <c r="E295" s="177">
        <v>79</v>
      </c>
      <c r="F295" s="224">
        <f t="shared" si="406"/>
        <v>7.9000000000000015E-2</v>
      </c>
      <c r="G295" s="224">
        <f t="shared" si="375"/>
        <v>7.9000000000000015E-2</v>
      </c>
      <c r="H295" s="224">
        <f t="shared" si="376"/>
        <v>0.49770000000000009</v>
      </c>
      <c r="I295" s="224">
        <f t="shared" si="377"/>
        <v>1.1850000000000003</v>
      </c>
      <c r="J295" s="560">
        <f t="shared" si="378"/>
        <v>50</v>
      </c>
      <c r="K295" s="455">
        <f t="shared" si="379"/>
        <v>13.1</v>
      </c>
      <c r="L295" s="455">
        <f t="shared" si="380"/>
        <v>63.1</v>
      </c>
      <c r="M295" s="455"/>
      <c r="N295" s="224">
        <f t="shared" si="381"/>
        <v>0.20760697305863707</v>
      </c>
      <c r="O295" s="179">
        <f t="shared" si="382"/>
        <v>2.0033341889689962</v>
      </c>
      <c r="P295" s="179">
        <f t="shared" si="383"/>
        <v>4.7698433070690385</v>
      </c>
      <c r="Q295" s="224">
        <f t="shared" si="384"/>
        <v>0.31798955380460259</v>
      </c>
      <c r="R295" s="224">
        <f t="shared" si="385"/>
        <v>0.13355561259793308</v>
      </c>
      <c r="S295" s="224">
        <f t="shared" si="386"/>
        <v>6.3</v>
      </c>
      <c r="T295" s="224">
        <f t="shared" si="387"/>
        <v>0.36023195928753188</v>
      </c>
      <c r="U295" s="224">
        <f t="shared" si="388"/>
        <v>0.39625515521628507</v>
      </c>
      <c r="V295" s="224">
        <f t="shared" si="389"/>
        <v>1.5124242565507062</v>
      </c>
      <c r="W295" s="204">
        <f t="shared" si="390"/>
        <v>350</v>
      </c>
      <c r="X295" s="455">
        <f t="shared" si="391"/>
        <v>350</v>
      </c>
      <c r="Z295" s="224">
        <f t="shared" si="392"/>
        <v>0.539238891061395</v>
      </c>
      <c r="AA295" s="180">
        <f t="shared" si="393"/>
        <v>2.2639800769753222</v>
      </c>
      <c r="AB295" s="180">
        <f t="shared" si="394"/>
        <v>0.1263812940814858</v>
      </c>
      <c r="AC295" s="180"/>
      <c r="AD295" s="180">
        <f t="shared" si="395"/>
        <v>1.217557251908397</v>
      </c>
      <c r="AE295" s="564">
        <f t="shared" si="396"/>
        <v>756.44743682793626</v>
      </c>
      <c r="AF295" s="547">
        <f t="shared" si="397"/>
        <v>3.6552440597785188E-2</v>
      </c>
      <c r="AH295" s="180">
        <f t="shared" si="398"/>
        <v>0.41812196070760749</v>
      </c>
      <c r="AI295" s="180">
        <f t="shared" si="399"/>
        <v>0.41812196070760749</v>
      </c>
      <c r="AJ295" s="180">
        <f t="shared" si="400"/>
        <v>1.2949051560797091</v>
      </c>
      <c r="AL295" s="564">
        <f t="shared" si="401"/>
        <v>79.000000000000014</v>
      </c>
      <c r="AM295" s="473">
        <f t="shared" si="402"/>
        <v>350</v>
      </c>
      <c r="AO295">
        <f t="shared" si="403"/>
        <v>79.000000000000014</v>
      </c>
      <c r="AP295">
        <f t="shared" si="404"/>
        <v>350</v>
      </c>
      <c r="AR295" s="5">
        <f t="shared" si="374"/>
        <v>2.8571428571428572</v>
      </c>
      <c r="AS295" s="5">
        <f t="shared" si="353"/>
        <v>0.45993415677836824</v>
      </c>
      <c r="AT295" s="5">
        <f t="shared" si="354"/>
        <v>2.3972087003644891</v>
      </c>
      <c r="AU295" s="180">
        <f t="shared" si="355"/>
        <v>0.16097695487242888</v>
      </c>
      <c r="CB295" s="582">
        <f t="shared" si="405"/>
        <v>-50</v>
      </c>
    </row>
    <row r="296" spans="5:80" x14ac:dyDescent="0.25">
      <c r="E296" s="177">
        <v>80</v>
      </c>
      <c r="F296" s="224">
        <f t="shared" si="406"/>
        <v>8.0000000000000016E-2</v>
      </c>
      <c r="G296" s="224">
        <f t="shared" si="375"/>
        <v>8.0000000000000016E-2</v>
      </c>
      <c r="H296" s="224">
        <f t="shared" si="376"/>
        <v>0.50400000000000011</v>
      </c>
      <c r="I296" s="224">
        <f t="shared" si="377"/>
        <v>1.2000000000000002</v>
      </c>
      <c r="J296" s="560">
        <f t="shared" si="378"/>
        <v>50</v>
      </c>
      <c r="K296" s="455">
        <f t="shared" si="379"/>
        <v>13.1</v>
      </c>
      <c r="L296" s="455">
        <f t="shared" si="380"/>
        <v>63.1</v>
      </c>
      <c r="M296" s="455"/>
      <c r="N296" s="224">
        <f t="shared" si="381"/>
        <v>0.20760697305863707</v>
      </c>
      <c r="O296" s="179">
        <f t="shared" si="382"/>
        <v>2.0033341889689962</v>
      </c>
      <c r="P296" s="179">
        <f t="shared" si="383"/>
        <v>4.7698433070690385</v>
      </c>
      <c r="Q296" s="224">
        <f t="shared" si="384"/>
        <v>0.31798955380460259</v>
      </c>
      <c r="R296" s="224">
        <f t="shared" si="385"/>
        <v>0.13355561259793308</v>
      </c>
      <c r="S296" s="224">
        <f t="shared" si="386"/>
        <v>6.3</v>
      </c>
      <c r="T296" s="224">
        <f t="shared" si="387"/>
        <v>0.36479185750636139</v>
      </c>
      <c r="U296" s="224">
        <f t="shared" si="388"/>
        <v>0.40127104325699753</v>
      </c>
      <c r="V296" s="224">
        <f t="shared" si="389"/>
        <v>1.5315688673931205</v>
      </c>
      <c r="W296" s="204">
        <f t="shared" si="390"/>
        <v>350</v>
      </c>
      <c r="X296" s="455">
        <f t="shared" si="391"/>
        <v>350</v>
      </c>
      <c r="Z296" s="224">
        <f t="shared" si="392"/>
        <v>0.539238891061395</v>
      </c>
      <c r="AA296" s="180">
        <f t="shared" si="393"/>
        <v>2.2639800769753222</v>
      </c>
      <c r="AB296" s="180">
        <f t="shared" si="394"/>
        <v>0.1263812940814858</v>
      </c>
      <c r="AC296" s="180"/>
      <c r="AD296" s="180">
        <f t="shared" si="395"/>
        <v>1.217557251908397</v>
      </c>
      <c r="AE296" s="564">
        <f t="shared" si="396"/>
        <v>766.02272083841649</v>
      </c>
      <c r="AF296" s="547">
        <f t="shared" si="397"/>
        <v>3.6552440597785188E-2</v>
      </c>
      <c r="AH296" s="180">
        <f t="shared" si="398"/>
        <v>0.42075998032008827</v>
      </c>
      <c r="AI296" s="180">
        <f t="shared" si="399"/>
        <v>0.42075998032008827</v>
      </c>
      <c r="AJ296" s="180">
        <f t="shared" si="400"/>
        <v>1.2968592446815468</v>
      </c>
      <c r="AL296" s="564">
        <f t="shared" si="401"/>
        <v>80.000000000000014</v>
      </c>
      <c r="AM296" s="473">
        <f t="shared" si="402"/>
        <v>350</v>
      </c>
      <c r="AO296">
        <f t="shared" si="403"/>
        <v>80.000000000000014</v>
      </c>
      <c r="AP296">
        <f t="shared" si="404"/>
        <v>350</v>
      </c>
      <c r="AR296" s="5">
        <f t="shared" si="374"/>
        <v>2.8571428571428572</v>
      </c>
      <c r="AS296" s="5">
        <f t="shared" si="353"/>
        <v>0.46283597835209717</v>
      </c>
      <c r="AT296" s="5">
        <f t="shared" si="354"/>
        <v>2.39430687879076</v>
      </c>
      <c r="AU296" s="180">
        <f t="shared" si="355"/>
        <v>0.16199259242323399</v>
      </c>
      <c r="CB296" s="582">
        <f t="shared" si="405"/>
        <v>-50</v>
      </c>
    </row>
    <row r="297" spans="5:80" x14ac:dyDescent="0.25">
      <c r="E297" s="177">
        <v>81</v>
      </c>
      <c r="F297" s="224">
        <f t="shared" si="406"/>
        <v>8.1000000000000016E-2</v>
      </c>
      <c r="G297" s="224">
        <f t="shared" si="375"/>
        <v>8.1000000000000016E-2</v>
      </c>
      <c r="H297" s="224">
        <f t="shared" si="376"/>
        <v>0.51030000000000009</v>
      </c>
      <c r="I297" s="224">
        <f t="shared" si="377"/>
        <v>1.2150000000000003</v>
      </c>
      <c r="J297" s="560">
        <f t="shared" si="378"/>
        <v>50</v>
      </c>
      <c r="K297" s="455">
        <f t="shared" si="379"/>
        <v>13.1</v>
      </c>
      <c r="L297" s="455">
        <f t="shared" si="380"/>
        <v>63.1</v>
      </c>
      <c r="M297" s="455"/>
      <c r="N297" s="224">
        <f t="shared" si="381"/>
        <v>0.20760697305863707</v>
      </c>
      <c r="O297" s="179">
        <f t="shared" si="382"/>
        <v>2.0033341889689962</v>
      </c>
      <c r="P297" s="179">
        <f t="shared" si="383"/>
        <v>4.7698433070690385</v>
      </c>
      <c r="Q297" s="224">
        <f t="shared" si="384"/>
        <v>0.31798955380460259</v>
      </c>
      <c r="R297" s="224">
        <f t="shared" si="385"/>
        <v>0.13355561259793308</v>
      </c>
      <c r="S297" s="224">
        <f t="shared" si="386"/>
        <v>6.3</v>
      </c>
      <c r="T297" s="224">
        <f t="shared" si="387"/>
        <v>0.36935175572519091</v>
      </c>
      <c r="U297" s="224">
        <f t="shared" si="388"/>
        <v>0.40628693129771004</v>
      </c>
      <c r="V297" s="224">
        <f t="shared" si="389"/>
        <v>1.5507134782355345</v>
      </c>
      <c r="W297" s="204">
        <f t="shared" si="390"/>
        <v>350</v>
      </c>
      <c r="X297" s="455">
        <f t="shared" si="391"/>
        <v>350</v>
      </c>
      <c r="Z297" s="224">
        <f t="shared" si="392"/>
        <v>0.539238891061395</v>
      </c>
      <c r="AA297" s="180">
        <f t="shared" si="393"/>
        <v>2.2639800769753222</v>
      </c>
      <c r="AB297" s="180">
        <f t="shared" si="394"/>
        <v>0.1263812940814858</v>
      </c>
      <c r="AC297" s="180"/>
      <c r="AD297" s="180">
        <f t="shared" si="395"/>
        <v>1.217557251908397</v>
      </c>
      <c r="AE297" s="564">
        <f t="shared" si="396"/>
        <v>775.59800484889661</v>
      </c>
      <c r="AF297" s="547">
        <f t="shared" si="397"/>
        <v>3.6552440597785188E-2</v>
      </c>
      <c r="AH297" s="180">
        <f t="shared" si="398"/>
        <v>0.423381563193236</v>
      </c>
      <c r="AI297" s="180">
        <f t="shared" si="399"/>
        <v>0.423381563193236</v>
      </c>
      <c r="AJ297" s="180">
        <f t="shared" si="400"/>
        <v>1.2988011579209155</v>
      </c>
      <c r="AL297" s="564">
        <f t="shared" si="401"/>
        <v>81.000000000000014</v>
      </c>
      <c r="AM297" s="473">
        <f t="shared" si="402"/>
        <v>350</v>
      </c>
      <c r="AO297">
        <f t="shared" si="403"/>
        <v>81.000000000000014</v>
      </c>
      <c r="AP297">
        <f t="shared" si="404"/>
        <v>350</v>
      </c>
      <c r="AR297" s="5">
        <f t="shared" si="374"/>
        <v>2.8571428571428572</v>
      </c>
      <c r="AS297" s="5">
        <f t="shared" si="353"/>
        <v>0.46571971951255958</v>
      </c>
      <c r="AT297" s="5">
        <f t="shared" si="354"/>
        <v>2.3914231376302975</v>
      </c>
      <c r="AU297" s="180">
        <f t="shared" si="355"/>
        <v>0.16300190182939586</v>
      </c>
      <c r="CB297" s="582">
        <f t="shared" si="405"/>
        <v>-50</v>
      </c>
    </row>
    <row r="298" spans="5:80" x14ac:dyDescent="0.25">
      <c r="E298" s="177">
        <v>82</v>
      </c>
      <c r="F298" s="224">
        <f t="shared" si="406"/>
        <v>8.2000000000000003E-2</v>
      </c>
      <c r="G298" s="224">
        <f t="shared" si="375"/>
        <v>8.2000000000000003E-2</v>
      </c>
      <c r="H298" s="224">
        <f t="shared" si="376"/>
        <v>0.51660000000000006</v>
      </c>
      <c r="I298" s="224">
        <f t="shared" si="377"/>
        <v>1.23</v>
      </c>
      <c r="J298" s="560">
        <f t="shared" si="378"/>
        <v>50</v>
      </c>
      <c r="K298" s="455">
        <f t="shared" si="379"/>
        <v>13.1</v>
      </c>
      <c r="L298" s="455">
        <f t="shared" si="380"/>
        <v>63.1</v>
      </c>
      <c r="M298" s="455"/>
      <c r="N298" s="224">
        <f t="shared" si="381"/>
        <v>0.20760697305863707</v>
      </c>
      <c r="O298" s="179">
        <f t="shared" si="382"/>
        <v>2.0033341889689962</v>
      </c>
      <c r="P298" s="179">
        <f t="shared" si="383"/>
        <v>4.7698433070690385</v>
      </c>
      <c r="Q298" s="224">
        <f t="shared" si="384"/>
        <v>0.31798955380460259</v>
      </c>
      <c r="R298" s="224">
        <f t="shared" si="385"/>
        <v>0.13355561259793308</v>
      </c>
      <c r="S298" s="224">
        <f t="shared" si="386"/>
        <v>6.3</v>
      </c>
      <c r="T298" s="224">
        <f t="shared" si="387"/>
        <v>0.37391165394402037</v>
      </c>
      <c r="U298" s="224">
        <f t="shared" si="388"/>
        <v>0.41130281933842244</v>
      </c>
      <c r="V298" s="224">
        <f t="shared" si="389"/>
        <v>1.5698580890779481</v>
      </c>
      <c r="W298" s="204">
        <f t="shared" si="390"/>
        <v>350</v>
      </c>
      <c r="X298" s="455">
        <f t="shared" si="391"/>
        <v>350</v>
      </c>
      <c r="Z298" s="224">
        <f t="shared" si="392"/>
        <v>0.539238891061395</v>
      </c>
      <c r="AA298" s="180">
        <f t="shared" si="393"/>
        <v>2.2639800769753222</v>
      </c>
      <c r="AB298" s="180">
        <f t="shared" si="394"/>
        <v>0.1263812940814858</v>
      </c>
      <c r="AC298" s="180"/>
      <c r="AD298" s="180">
        <f t="shared" si="395"/>
        <v>1.217557251908397</v>
      </c>
      <c r="AE298" s="564">
        <f t="shared" si="396"/>
        <v>785.17328885937684</v>
      </c>
      <c r="AF298" s="547">
        <f t="shared" si="397"/>
        <v>3.6552440597785188E-2</v>
      </c>
      <c r="AH298" s="180">
        <f t="shared" si="398"/>
        <v>0.42598701278904627</v>
      </c>
      <c r="AI298" s="180">
        <f t="shared" si="399"/>
        <v>0.42598701278904627</v>
      </c>
      <c r="AJ298" s="180">
        <f t="shared" si="400"/>
        <v>1.3007311205844787</v>
      </c>
      <c r="AL298" s="564">
        <f t="shared" si="401"/>
        <v>82</v>
      </c>
      <c r="AM298" s="473">
        <f t="shared" si="402"/>
        <v>350</v>
      </c>
      <c r="AO298">
        <f t="shared" si="403"/>
        <v>82</v>
      </c>
      <c r="AP298">
        <f t="shared" si="404"/>
        <v>350</v>
      </c>
      <c r="AR298" s="5">
        <f t="shared" si="374"/>
        <v>2.8571428571428572</v>
      </c>
      <c r="AS298" s="5">
        <f t="shared" si="353"/>
        <v>0.46858571406795096</v>
      </c>
      <c r="AT298" s="5">
        <f t="shared" si="354"/>
        <v>2.3885571430749062</v>
      </c>
      <c r="AU298" s="180">
        <f t="shared" si="355"/>
        <v>0.16400499992378284</v>
      </c>
      <c r="CB298" s="582">
        <f t="shared" si="405"/>
        <v>-50</v>
      </c>
    </row>
    <row r="299" spans="5:80" x14ac:dyDescent="0.25">
      <c r="E299" s="177">
        <v>83</v>
      </c>
      <c r="F299" s="224">
        <f t="shared" si="406"/>
        <v>8.3000000000000004E-2</v>
      </c>
      <c r="G299" s="224">
        <f t="shared" si="375"/>
        <v>8.3000000000000004E-2</v>
      </c>
      <c r="H299" s="224">
        <f t="shared" si="376"/>
        <v>0.52290000000000003</v>
      </c>
      <c r="I299" s="224">
        <f t="shared" si="377"/>
        <v>1.2450000000000001</v>
      </c>
      <c r="J299" s="560">
        <f t="shared" si="378"/>
        <v>50</v>
      </c>
      <c r="K299" s="455">
        <f t="shared" si="379"/>
        <v>13.1</v>
      </c>
      <c r="L299" s="455">
        <f t="shared" si="380"/>
        <v>63.1</v>
      </c>
      <c r="M299" s="455"/>
      <c r="N299" s="224">
        <f t="shared" si="381"/>
        <v>0.20760697305863707</v>
      </c>
      <c r="O299" s="179">
        <f t="shared" si="382"/>
        <v>2.0033341889689962</v>
      </c>
      <c r="P299" s="179">
        <f t="shared" si="383"/>
        <v>4.7698433070690385</v>
      </c>
      <c r="Q299" s="224">
        <f t="shared" si="384"/>
        <v>0.31798955380460259</v>
      </c>
      <c r="R299" s="224">
        <f t="shared" si="385"/>
        <v>0.13355561259793308</v>
      </c>
      <c r="S299" s="224">
        <f t="shared" si="386"/>
        <v>6.3</v>
      </c>
      <c r="T299" s="224">
        <f t="shared" si="387"/>
        <v>0.37847155216284989</v>
      </c>
      <c r="U299" s="224">
        <f t="shared" si="388"/>
        <v>0.4163187073791349</v>
      </c>
      <c r="V299" s="224">
        <f t="shared" si="389"/>
        <v>1.5890026999203621</v>
      </c>
      <c r="W299" s="204">
        <f t="shared" si="390"/>
        <v>350</v>
      </c>
      <c r="X299" s="455">
        <f t="shared" si="391"/>
        <v>350</v>
      </c>
      <c r="Z299" s="224">
        <f t="shared" si="392"/>
        <v>0.539238891061395</v>
      </c>
      <c r="AA299" s="180">
        <f t="shared" si="393"/>
        <v>2.2639800769753222</v>
      </c>
      <c r="AB299" s="180">
        <f t="shared" si="394"/>
        <v>0.1263812940814858</v>
      </c>
      <c r="AC299" s="180"/>
      <c r="AD299" s="180">
        <f t="shared" si="395"/>
        <v>1.217557251908397</v>
      </c>
      <c r="AE299" s="564">
        <f t="shared" si="396"/>
        <v>794.74857286985696</v>
      </c>
      <c r="AF299" s="547">
        <f t="shared" si="397"/>
        <v>3.6552440597785188E-2</v>
      </c>
      <c r="AH299" s="180">
        <f t="shared" si="398"/>
        <v>0.42857662334514007</v>
      </c>
      <c r="AI299" s="180">
        <f t="shared" si="399"/>
        <v>0.42857662334514007</v>
      </c>
      <c r="AJ299" s="180">
        <f t="shared" si="400"/>
        <v>1.3026493506260297</v>
      </c>
      <c r="AL299" s="564">
        <f t="shared" si="401"/>
        <v>83</v>
      </c>
      <c r="AM299" s="473">
        <f t="shared" si="402"/>
        <v>350</v>
      </c>
      <c r="AO299">
        <f t="shared" si="403"/>
        <v>83</v>
      </c>
      <c r="AP299">
        <f t="shared" si="404"/>
        <v>350</v>
      </c>
      <c r="AR299" s="5">
        <f t="shared" si="374"/>
        <v>2.8571428571428572</v>
      </c>
      <c r="AS299" s="5">
        <f t="shared" si="353"/>
        <v>0.47143428567965412</v>
      </c>
      <c r="AT299" s="5">
        <f t="shared" si="354"/>
        <v>2.3857085714632031</v>
      </c>
      <c r="AU299" s="180">
        <f t="shared" si="355"/>
        <v>0.16500199998787893</v>
      </c>
      <c r="CB299" s="582">
        <f t="shared" si="405"/>
        <v>-50</v>
      </c>
    </row>
    <row r="300" spans="5:80" x14ac:dyDescent="0.25">
      <c r="E300" s="177">
        <v>84</v>
      </c>
      <c r="F300" s="224">
        <f t="shared" si="406"/>
        <v>8.4000000000000005E-2</v>
      </c>
      <c r="G300" s="224">
        <f t="shared" si="375"/>
        <v>8.4000000000000005E-2</v>
      </c>
      <c r="H300" s="224">
        <f t="shared" si="376"/>
        <v>0.5292</v>
      </c>
      <c r="I300" s="224">
        <f t="shared" si="377"/>
        <v>1.26</v>
      </c>
      <c r="J300" s="560">
        <f t="shared" si="378"/>
        <v>50</v>
      </c>
      <c r="K300" s="455">
        <f t="shared" si="379"/>
        <v>13.1</v>
      </c>
      <c r="L300" s="455">
        <f t="shared" si="380"/>
        <v>63.1</v>
      </c>
      <c r="M300" s="455"/>
      <c r="N300" s="224">
        <f t="shared" si="381"/>
        <v>0.20760697305863707</v>
      </c>
      <c r="O300" s="179">
        <f t="shared" si="382"/>
        <v>2.0033341889689962</v>
      </c>
      <c r="P300" s="179">
        <f t="shared" si="383"/>
        <v>4.7698433070690385</v>
      </c>
      <c r="Q300" s="224">
        <f t="shared" si="384"/>
        <v>0.31798955380460259</v>
      </c>
      <c r="R300" s="224">
        <f t="shared" si="385"/>
        <v>0.13355561259793308</v>
      </c>
      <c r="S300" s="224">
        <f t="shared" si="386"/>
        <v>6.3</v>
      </c>
      <c r="T300" s="224">
        <f t="shared" si="387"/>
        <v>0.38303145038167946</v>
      </c>
      <c r="U300" s="224">
        <f t="shared" si="388"/>
        <v>0.42133459541984747</v>
      </c>
      <c r="V300" s="224">
        <f t="shared" si="389"/>
        <v>1.6081473107627766</v>
      </c>
      <c r="W300" s="204">
        <f t="shared" si="390"/>
        <v>350</v>
      </c>
      <c r="X300" s="455">
        <f t="shared" si="391"/>
        <v>350</v>
      </c>
      <c r="Z300" s="224">
        <f t="shared" si="392"/>
        <v>0.539238891061395</v>
      </c>
      <c r="AA300" s="180">
        <f t="shared" si="393"/>
        <v>2.2639800769753222</v>
      </c>
      <c r="AB300" s="180">
        <f t="shared" si="394"/>
        <v>0.1263812940814858</v>
      </c>
      <c r="AC300" s="180"/>
      <c r="AD300" s="180">
        <f t="shared" si="395"/>
        <v>1.217557251908397</v>
      </c>
      <c r="AE300" s="564">
        <f t="shared" si="396"/>
        <v>804.32385688033708</v>
      </c>
      <c r="AF300" s="547">
        <f t="shared" si="397"/>
        <v>3.6552440597785188E-2</v>
      </c>
      <c r="AH300" s="180">
        <f t="shared" si="398"/>
        <v>0.43115068026260739</v>
      </c>
      <c r="AI300" s="180">
        <f t="shared" si="399"/>
        <v>0.43115068026260739</v>
      </c>
      <c r="AJ300" s="180">
        <f t="shared" si="400"/>
        <v>1.3045560594537833</v>
      </c>
      <c r="AL300" s="564">
        <f t="shared" si="401"/>
        <v>84</v>
      </c>
      <c r="AM300" s="473">
        <f t="shared" si="402"/>
        <v>350</v>
      </c>
      <c r="AO300">
        <f t="shared" si="403"/>
        <v>84</v>
      </c>
      <c r="AP300">
        <f t="shared" si="404"/>
        <v>350</v>
      </c>
      <c r="AR300" s="5">
        <f t="shared" si="374"/>
        <v>2.8571428571428572</v>
      </c>
      <c r="AS300" s="5">
        <f t="shared" si="353"/>
        <v>0.47426574828886808</v>
      </c>
      <c r="AT300" s="5">
        <f t="shared" si="354"/>
        <v>2.3828771088539891</v>
      </c>
      <c r="AU300" s="180">
        <f t="shared" si="355"/>
        <v>0.16599301190110383</v>
      </c>
      <c r="CB300" s="582">
        <f t="shared" si="405"/>
        <v>-50</v>
      </c>
    </row>
    <row r="301" spans="5:80" x14ac:dyDescent="0.25">
      <c r="E301" s="177">
        <v>85</v>
      </c>
      <c r="F301" s="224">
        <f t="shared" si="406"/>
        <v>8.5000000000000006E-2</v>
      </c>
      <c r="G301" s="224">
        <f t="shared" si="375"/>
        <v>8.5000000000000006E-2</v>
      </c>
      <c r="H301" s="224">
        <f t="shared" si="376"/>
        <v>0.53549999999999998</v>
      </c>
      <c r="I301" s="224">
        <f t="shared" si="377"/>
        <v>1.2750000000000001</v>
      </c>
      <c r="J301" s="560">
        <f t="shared" si="378"/>
        <v>50</v>
      </c>
      <c r="K301" s="455">
        <f t="shared" si="379"/>
        <v>13.1</v>
      </c>
      <c r="L301" s="455">
        <f t="shared" si="380"/>
        <v>63.1</v>
      </c>
      <c r="M301" s="455"/>
      <c r="N301" s="224">
        <f t="shared" si="381"/>
        <v>0.20760697305863707</v>
      </c>
      <c r="O301" s="179">
        <f t="shared" si="382"/>
        <v>2.0033341889689962</v>
      </c>
      <c r="P301" s="179">
        <f t="shared" si="383"/>
        <v>4.7698433070690385</v>
      </c>
      <c r="Q301" s="224">
        <f t="shared" si="384"/>
        <v>0.31798955380460259</v>
      </c>
      <c r="R301" s="224">
        <f t="shared" si="385"/>
        <v>0.13355561259793308</v>
      </c>
      <c r="S301" s="224">
        <f t="shared" si="386"/>
        <v>6.3</v>
      </c>
      <c r="T301" s="224">
        <f t="shared" si="387"/>
        <v>0.38759134860050898</v>
      </c>
      <c r="U301" s="224">
        <f t="shared" si="388"/>
        <v>0.42635048346055987</v>
      </c>
      <c r="V301" s="224">
        <f t="shared" si="389"/>
        <v>1.6272919216051902</v>
      </c>
      <c r="W301" s="204">
        <f t="shared" si="390"/>
        <v>350</v>
      </c>
      <c r="X301" s="455">
        <f t="shared" si="391"/>
        <v>350</v>
      </c>
      <c r="Z301" s="224">
        <f t="shared" si="392"/>
        <v>0.539238891061395</v>
      </c>
      <c r="AA301" s="180">
        <f t="shared" si="393"/>
        <v>2.2639800769753222</v>
      </c>
      <c r="AB301" s="180">
        <f t="shared" si="394"/>
        <v>0.1263812940814858</v>
      </c>
      <c r="AC301" s="180"/>
      <c r="AD301" s="180">
        <f t="shared" si="395"/>
        <v>1.217557251908397</v>
      </c>
      <c r="AE301" s="564">
        <f t="shared" si="396"/>
        <v>813.89914089081742</v>
      </c>
      <c r="AF301" s="547">
        <f t="shared" si="397"/>
        <v>3.6552440597785188E-2</v>
      </c>
      <c r="AH301" s="180">
        <f t="shared" si="398"/>
        <v>0.43370946047313302</v>
      </c>
      <c r="AI301" s="180">
        <f t="shared" si="399"/>
        <v>0.43370946047313302</v>
      </c>
      <c r="AJ301" s="180">
        <f t="shared" si="400"/>
        <v>1.3064514522023207</v>
      </c>
      <c r="AL301" s="564">
        <f t="shared" si="401"/>
        <v>85</v>
      </c>
      <c r="AM301" s="473">
        <f t="shared" si="402"/>
        <v>350</v>
      </c>
      <c r="AO301">
        <f t="shared" si="403"/>
        <v>85</v>
      </c>
      <c r="AP301">
        <f t="shared" si="404"/>
        <v>350</v>
      </c>
      <c r="AR301" s="5">
        <f t="shared" si="374"/>
        <v>2.8571428571428572</v>
      </c>
      <c r="AS301" s="5">
        <f t="shared" si="353"/>
        <v>0.47708040652044642</v>
      </c>
      <c r="AT301" s="5">
        <f t="shared" si="354"/>
        <v>2.3800624506224106</v>
      </c>
      <c r="AU301" s="180">
        <f t="shared" si="355"/>
        <v>0.16697814228215624</v>
      </c>
      <c r="CB301" s="582">
        <f t="shared" si="405"/>
        <v>-50</v>
      </c>
    </row>
    <row r="302" spans="5:80" x14ac:dyDescent="0.25">
      <c r="E302" s="177">
        <v>86</v>
      </c>
      <c r="F302" s="224">
        <f t="shared" si="406"/>
        <v>8.6000000000000007E-2</v>
      </c>
      <c r="G302" s="224">
        <f t="shared" si="375"/>
        <v>8.6000000000000007E-2</v>
      </c>
      <c r="H302" s="224">
        <f t="shared" si="376"/>
        <v>0.54180000000000006</v>
      </c>
      <c r="I302" s="224">
        <f t="shared" si="377"/>
        <v>1.29</v>
      </c>
      <c r="J302" s="560">
        <f t="shared" si="378"/>
        <v>50</v>
      </c>
      <c r="K302" s="455">
        <f t="shared" si="379"/>
        <v>13.1</v>
      </c>
      <c r="L302" s="455">
        <f t="shared" si="380"/>
        <v>63.1</v>
      </c>
      <c r="M302" s="455"/>
      <c r="N302" s="224">
        <f t="shared" si="381"/>
        <v>0.20760697305863707</v>
      </c>
      <c r="O302" s="179">
        <f t="shared" si="382"/>
        <v>2.0033341889689962</v>
      </c>
      <c r="P302" s="179">
        <f t="shared" si="383"/>
        <v>4.7698433070690385</v>
      </c>
      <c r="Q302" s="224">
        <f t="shared" si="384"/>
        <v>0.31798955380460259</v>
      </c>
      <c r="R302" s="224">
        <f t="shared" si="385"/>
        <v>0.13355561259793308</v>
      </c>
      <c r="S302" s="224">
        <f t="shared" si="386"/>
        <v>6.3</v>
      </c>
      <c r="T302" s="224">
        <f t="shared" si="387"/>
        <v>0.39215124681933849</v>
      </c>
      <c r="U302" s="224">
        <f t="shared" si="388"/>
        <v>0.43136637150127233</v>
      </c>
      <c r="V302" s="224">
        <f t="shared" si="389"/>
        <v>1.6464365324476045</v>
      </c>
      <c r="W302" s="204">
        <f t="shared" si="390"/>
        <v>350</v>
      </c>
      <c r="X302" s="455">
        <f t="shared" si="391"/>
        <v>350</v>
      </c>
      <c r="Z302" s="224">
        <f t="shared" si="392"/>
        <v>0.539238891061395</v>
      </c>
      <c r="AA302" s="180">
        <f t="shared" si="393"/>
        <v>2.2639800769753222</v>
      </c>
      <c r="AB302" s="180">
        <f t="shared" si="394"/>
        <v>0.1263812940814858</v>
      </c>
      <c r="AC302" s="180"/>
      <c r="AD302" s="180">
        <f t="shared" si="395"/>
        <v>1.217557251908397</v>
      </c>
      <c r="AE302" s="564">
        <f t="shared" si="396"/>
        <v>823.47442490129754</v>
      </c>
      <c r="AF302" s="547">
        <f t="shared" si="397"/>
        <v>3.6552440597785188E-2</v>
      </c>
      <c r="AH302" s="180">
        <f t="shared" si="398"/>
        <v>0.43625323278674183</v>
      </c>
      <c r="AI302" s="180">
        <f t="shared" si="399"/>
        <v>0.43625323278674183</v>
      </c>
      <c r="AJ302" s="180">
        <f t="shared" si="400"/>
        <v>1.3083357279901791</v>
      </c>
      <c r="AL302" s="564">
        <f t="shared" si="401"/>
        <v>86</v>
      </c>
      <c r="AM302" s="473">
        <f t="shared" si="402"/>
        <v>350</v>
      </c>
      <c r="AO302">
        <f t="shared" si="403"/>
        <v>86</v>
      </c>
      <c r="AP302">
        <f t="shared" si="404"/>
        <v>350</v>
      </c>
      <c r="AR302" s="5">
        <f t="shared" si="374"/>
        <v>2.8571428571428572</v>
      </c>
      <c r="AS302" s="5">
        <f t="shared" si="353"/>
        <v>0.47987855606541602</v>
      </c>
      <c r="AT302" s="5">
        <f t="shared" si="354"/>
        <v>2.377264301077441</v>
      </c>
      <c r="AU302" s="180">
        <f t="shared" si="355"/>
        <v>0.16795749462289561</v>
      </c>
      <c r="CB302" s="582">
        <f t="shared" si="405"/>
        <v>-50</v>
      </c>
    </row>
    <row r="303" spans="5:80" x14ac:dyDescent="0.25">
      <c r="E303" s="177">
        <v>87</v>
      </c>
      <c r="F303" s="224">
        <f t="shared" si="406"/>
        <v>8.7000000000000008E-2</v>
      </c>
      <c r="G303" s="224">
        <f t="shared" si="375"/>
        <v>8.7000000000000008E-2</v>
      </c>
      <c r="H303" s="224">
        <f t="shared" si="376"/>
        <v>0.54810000000000003</v>
      </c>
      <c r="I303" s="224">
        <f t="shared" si="377"/>
        <v>1.3050000000000002</v>
      </c>
      <c r="J303" s="560">
        <f t="shared" si="378"/>
        <v>50</v>
      </c>
      <c r="K303" s="455">
        <f t="shared" si="379"/>
        <v>13.1</v>
      </c>
      <c r="L303" s="455">
        <f t="shared" si="380"/>
        <v>63.1</v>
      </c>
      <c r="M303" s="455"/>
      <c r="N303" s="224">
        <f t="shared" si="381"/>
        <v>0.20760697305863707</v>
      </c>
      <c r="O303" s="179">
        <f t="shared" si="382"/>
        <v>2.0033341889689962</v>
      </c>
      <c r="P303" s="179">
        <f t="shared" si="383"/>
        <v>4.7698433070690385</v>
      </c>
      <c r="Q303" s="224">
        <f t="shared" si="384"/>
        <v>0.31798955380460259</v>
      </c>
      <c r="R303" s="224">
        <f t="shared" si="385"/>
        <v>0.13355561259793308</v>
      </c>
      <c r="S303" s="224">
        <f t="shared" si="386"/>
        <v>6.3</v>
      </c>
      <c r="T303" s="224">
        <f t="shared" si="387"/>
        <v>0.39671114503816801</v>
      </c>
      <c r="U303" s="224">
        <f t="shared" si="388"/>
        <v>0.43638225954198484</v>
      </c>
      <c r="V303" s="224">
        <f t="shared" si="389"/>
        <v>1.6655811432900187</v>
      </c>
      <c r="W303" s="204">
        <f t="shared" si="390"/>
        <v>350</v>
      </c>
      <c r="X303" s="455">
        <f t="shared" si="391"/>
        <v>350</v>
      </c>
      <c r="Z303" s="224">
        <f t="shared" si="392"/>
        <v>0.539238891061395</v>
      </c>
      <c r="AA303" s="180">
        <f t="shared" si="393"/>
        <v>2.2639800769753222</v>
      </c>
      <c r="AB303" s="180">
        <f t="shared" si="394"/>
        <v>0.1263812940814858</v>
      </c>
      <c r="AC303" s="180"/>
      <c r="AD303" s="180">
        <f t="shared" si="395"/>
        <v>1.217557251908397</v>
      </c>
      <c r="AE303" s="564">
        <f t="shared" si="396"/>
        <v>833.04970891177777</v>
      </c>
      <c r="AF303" s="547">
        <f t="shared" si="397"/>
        <v>3.6552440597785188E-2</v>
      </c>
      <c r="AH303" s="180">
        <f t="shared" si="398"/>
        <v>0.43878225822139866</v>
      </c>
      <c r="AI303" s="180">
        <f t="shared" si="399"/>
        <v>0.43878225822139866</v>
      </c>
      <c r="AJ303" s="180">
        <f t="shared" si="400"/>
        <v>1.310209080163999</v>
      </c>
      <c r="AL303" s="564">
        <f t="shared" si="401"/>
        <v>87.000000000000014</v>
      </c>
      <c r="AM303" s="473">
        <f t="shared" si="402"/>
        <v>350</v>
      </c>
      <c r="AO303">
        <f t="shared" si="403"/>
        <v>87.000000000000014</v>
      </c>
      <c r="AP303">
        <f t="shared" si="404"/>
        <v>350</v>
      </c>
      <c r="AR303" s="5">
        <f t="shared" si="374"/>
        <v>2.8571428571428572</v>
      </c>
      <c r="AS303" s="5">
        <f t="shared" si="353"/>
        <v>0.48266048404353862</v>
      </c>
      <c r="AT303" s="5">
        <f t="shared" si="354"/>
        <v>2.3744823730993185</v>
      </c>
      <c r="AU303" s="180">
        <f t="shared" si="355"/>
        <v>0.1689311694152385</v>
      </c>
      <c r="CB303" s="582">
        <f t="shared" si="405"/>
        <v>-50</v>
      </c>
    </row>
    <row r="304" spans="5:80" x14ac:dyDescent="0.25">
      <c r="E304" s="177">
        <v>88</v>
      </c>
      <c r="F304" s="224">
        <f t="shared" si="406"/>
        <v>8.8000000000000009E-2</v>
      </c>
      <c r="G304" s="224">
        <f t="shared" si="375"/>
        <v>8.8000000000000009E-2</v>
      </c>
      <c r="H304" s="224">
        <f t="shared" si="376"/>
        <v>0.5544</v>
      </c>
      <c r="I304" s="224">
        <f t="shared" si="377"/>
        <v>1.32</v>
      </c>
      <c r="J304" s="560">
        <f t="shared" si="378"/>
        <v>50</v>
      </c>
      <c r="K304" s="455">
        <f t="shared" si="379"/>
        <v>13.1</v>
      </c>
      <c r="L304" s="455">
        <f t="shared" si="380"/>
        <v>63.1</v>
      </c>
      <c r="M304" s="455"/>
      <c r="N304" s="224">
        <f t="shared" si="381"/>
        <v>0.20760697305863707</v>
      </c>
      <c r="O304" s="179">
        <f t="shared" si="382"/>
        <v>2.0033341889689962</v>
      </c>
      <c r="P304" s="179">
        <f t="shared" si="383"/>
        <v>4.7698433070690385</v>
      </c>
      <c r="Q304" s="224">
        <f t="shared" si="384"/>
        <v>0.31798955380460259</v>
      </c>
      <c r="R304" s="224">
        <f t="shared" si="385"/>
        <v>0.13355561259793308</v>
      </c>
      <c r="S304" s="224">
        <f t="shared" si="386"/>
        <v>6.3</v>
      </c>
      <c r="T304" s="224">
        <f t="shared" si="387"/>
        <v>0.40127104325699753</v>
      </c>
      <c r="U304" s="224">
        <f t="shared" si="388"/>
        <v>0.4413981475826973</v>
      </c>
      <c r="V304" s="224">
        <f t="shared" si="389"/>
        <v>1.6847257541324323</v>
      </c>
      <c r="W304" s="204">
        <f t="shared" si="390"/>
        <v>350</v>
      </c>
      <c r="X304" s="455">
        <f t="shared" si="391"/>
        <v>350</v>
      </c>
      <c r="Z304" s="224">
        <f t="shared" si="392"/>
        <v>0.539238891061395</v>
      </c>
      <c r="AA304" s="180">
        <f t="shared" si="393"/>
        <v>2.2639800769753222</v>
      </c>
      <c r="AB304" s="180">
        <f t="shared" si="394"/>
        <v>0.1263812940814858</v>
      </c>
      <c r="AC304" s="180"/>
      <c r="AD304" s="180">
        <f t="shared" si="395"/>
        <v>1.217557251908397</v>
      </c>
      <c r="AE304" s="564">
        <f t="shared" si="396"/>
        <v>842.62499292225789</v>
      </c>
      <c r="AF304" s="547">
        <f t="shared" si="397"/>
        <v>3.6552440597785188E-2</v>
      </c>
      <c r="AH304" s="180">
        <f t="shared" si="398"/>
        <v>0.44129679031560742</v>
      </c>
      <c r="AI304" s="180">
        <f t="shared" si="399"/>
        <v>0.44129679031560742</v>
      </c>
      <c r="AJ304" s="180">
        <f t="shared" si="400"/>
        <v>1.3120716965300796</v>
      </c>
      <c r="AL304" s="564">
        <f t="shared" si="401"/>
        <v>88.000000000000014</v>
      </c>
      <c r="AM304" s="473">
        <f t="shared" si="402"/>
        <v>350</v>
      </c>
      <c r="AO304">
        <f t="shared" si="403"/>
        <v>88.000000000000014</v>
      </c>
      <c r="AP304">
        <f t="shared" si="404"/>
        <v>350</v>
      </c>
      <c r="AR304" s="5">
        <f t="shared" si="374"/>
        <v>2.8571428571428572</v>
      </c>
      <c r="AS304" s="5">
        <f t="shared" si="353"/>
        <v>0.48542646934716821</v>
      </c>
      <c r="AT304" s="5">
        <f t="shared" si="354"/>
        <v>2.3717163877956891</v>
      </c>
      <c r="AU304" s="180">
        <f t="shared" si="355"/>
        <v>0.16989926427150887</v>
      </c>
      <c r="CB304" s="582">
        <f t="shared" si="405"/>
        <v>-50</v>
      </c>
    </row>
    <row r="305" spans="5:80" x14ac:dyDescent="0.25">
      <c r="E305" s="177">
        <v>89</v>
      </c>
      <c r="F305" s="224">
        <f t="shared" si="406"/>
        <v>8.900000000000001E-2</v>
      </c>
      <c r="G305" s="224">
        <f t="shared" si="375"/>
        <v>8.900000000000001E-2</v>
      </c>
      <c r="H305" s="224">
        <f t="shared" si="376"/>
        <v>0.56070000000000009</v>
      </c>
      <c r="I305" s="224">
        <f t="shared" si="377"/>
        <v>1.3350000000000002</v>
      </c>
      <c r="J305" s="560">
        <f t="shared" si="378"/>
        <v>50</v>
      </c>
      <c r="K305" s="455">
        <f t="shared" si="379"/>
        <v>13.1</v>
      </c>
      <c r="L305" s="455">
        <f t="shared" si="380"/>
        <v>63.1</v>
      </c>
      <c r="M305" s="455"/>
      <c r="N305" s="224">
        <f t="shared" si="381"/>
        <v>0.20760697305863707</v>
      </c>
      <c r="O305" s="179">
        <f t="shared" si="382"/>
        <v>2.0033341889689962</v>
      </c>
      <c r="P305" s="179">
        <f t="shared" si="383"/>
        <v>4.7698433070690385</v>
      </c>
      <c r="Q305" s="224">
        <f t="shared" si="384"/>
        <v>0.31798955380460259</v>
      </c>
      <c r="R305" s="224">
        <f t="shared" si="385"/>
        <v>0.13355561259793308</v>
      </c>
      <c r="S305" s="224">
        <f t="shared" si="386"/>
        <v>6.3</v>
      </c>
      <c r="T305" s="224">
        <f t="shared" si="387"/>
        <v>0.40583094147582705</v>
      </c>
      <c r="U305" s="224">
        <f t="shared" si="388"/>
        <v>0.44641403562340976</v>
      </c>
      <c r="V305" s="224">
        <f t="shared" si="389"/>
        <v>1.7038703649748463</v>
      </c>
      <c r="W305" s="204">
        <f t="shared" si="390"/>
        <v>350</v>
      </c>
      <c r="X305" s="455">
        <f t="shared" si="391"/>
        <v>350</v>
      </c>
      <c r="Z305" s="224">
        <f t="shared" si="392"/>
        <v>0.539238891061395</v>
      </c>
      <c r="AA305" s="180">
        <f t="shared" si="393"/>
        <v>2.2639800769753222</v>
      </c>
      <c r="AB305" s="180">
        <f t="shared" si="394"/>
        <v>0.1263812940814858</v>
      </c>
      <c r="AC305" s="180"/>
      <c r="AD305" s="180">
        <f t="shared" si="395"/>
        <v>1.217557251908397</v>
      </c>
      <c r="AE305" s="564">
        <f t="shared" si="396"/>
        <v>852.20027693273823</v>
      </c>
      <c r="AF305" s="547">
        <f t="shared" si="397"/>
        <v>3.6552440597785188E-2</v>
      </c>
      <c r="AH305" s="180">
        <f t="shared" si="398"/>
        <v>0.44379707542506874</v>
      </c>
      <c r="AI305" s="180">
        <f t="shared" si="399"/>
        <v>0.44379707542506874</v>
      </c>
      <c r="AJ305" s="180">
        <f t="shared" si="400"/>
        <v>1.3139237595741249</v>
      </c>
      <c r="AL305" s="564">
        <f t="shared" si="401"/>
        <v>89.000000000000014</v>
      </c>
      <c r="AM305" s="473">
        <f t="shared" si="402"/>
        <v>350</v>
      </c>
      <c r="AO305">
        <f t="shared" si="403"/>
        <v>89.000000000000014</v>
      </c>
      <c r="AP305">
        <f t="shared" si="404"/>
        <v>350</v>
      </c>
      <c r="AR305" s="5">
        <f t="shared" si="374"/>
        <v>2.8571428571428572</v>
      </c>
      <c r="AS305" s="5">
        <f t="shared" si="353"/>
        <v>0.48817678296757566</v>
      </c>
      <c r="AT305" s="5">
        <f t="shared" si="354"/>
        <v>2.3689660741752814</v>
      </c>
      <c r="AU305" s="180">
        <f t="shared" si="355"/>
        <v>0.17086187403865147</v>
      </c>
      <c r="CB305" s="582">
        <f t="shared" si="405"/>
        <v>-50</v>
      </c>
    </row>
    <row r="306" spans="5:80" x14ac:dyDescent="0.25">
      <c r="E306" s="177">
        <v>90</v>
      </c>
      <c r="F306" s="224">
        <f t="shared" si="406"/>
        <v>9.0000000000000011E-2</v>
      </c>
      <c r="G306" s="224">
        <f t="shared" si="375"/>
        <v>9.0000000000000011E-2</v>
      </c>
      <c r="H306" s="224">
        <f t="shared" si="376"/>
        <v>0.56700000000000006</v>
      </c>
      <c r="I306" s="224">
        <f t="shared" si="377"/>
        <v>1.35</v>
      </c>
      <c r="J306" s="560">
        <f t="shared" si="378"/>
        <v>50</v>
      </c>
      <c r="K306" s="455">
        <f t="shared" si="379"/>
        <v>13.1</v>
      </c>
      <c r="L306" s="455">
        <f t="shared" si="380"/>
        <v>63.1</v>
      </c>
      <c r="M306" s="455"/>
      <c r="N306" s="224">
        <f t="shared" si="381"/>
        <v>0.20760697305863707</v>
      </c>
      <c r="O306" s="179">
        <f t="shared" si="382"/>
        <v>2.0033341889689962</v>
      </c>
      <c r="P306" s="179">
        <f t="shared" si="383"/>
        <v>4.7698433070690385</v>
      </c>
      <c r="Q306" s="224">
        <f t="shared" si="384"/>
        <v>0.31798955380460259</v>
      </c>
      <c r="R306" s="224">
        <f t="shared" si="385"/>
        <v>0.13355561259793308</v>
      </c>
      <c r="S306" s="224">
        <f t="shared" si="386"/>
        <v>6.3</v>
      </c>
      <c r="T306" s="224">
        <f t="shared" si="387"/>
        <v>0.41039083969465656</v>
      </c>
      <c r="U306" s="224">
        <f t="shared" si="388"/>
        <v>0.45142992366412227</v>
      </c>
      <c r="V306" s="224">
        <f t="shared" si="389"/>
        <v>1.7230149758172606</v>
      </c>
      <c r="W306" s="204">
        <f t="shared" si="390"/>
        <v>350</v>
      </c>
      <c r="X306" s="455">
        <f t="shared" si="391"/>
        <v>350</v>
      </c>
      <c r="Z306" s="224">
        <f t="shared" si="392"/>
        <v>0.539238891061395</v>
      </c>
      <c r="AA306" s="180">
        <f t="shared" si="393"/>
        <v>2.2639800769753222</v>
      </c>
      <c r="AB306" s="180">
        <f t="shared" si="394"/>
        <v>0.1263812940814858</v>
      </c>
      <c r="AC306" s="180"/>
      <c r="AD306" s="180">
        <f t="shared" si="395"/>
        <v>1.217557251908397</v>
      </c>
      <c r="AE306" s="564">
        <f t="shared" si="396"/>
        <v>861.77556094321847</v>
      </c>
      <c r="AF306" s="547">
        <f t="shared" si="397"/>
        <v>3.6552440597785188E-2</v>
      </c>
      <c r="AH306" s="180">
        <f t="shared" si="398"/>
        <v>0.44628335300437905</v>
      </c>
      <c r="AI306" s="180">
        <f t="shared" si="399"/>
        <v>0.44628335300437905</v>
      </c>
      <c r="AJ306" s="180">
        <f t="shared" si="400"/>
        <v>1.3157654466699105</v>
      </c>
      <c r="AL306" s="564">
        <f t="shared" si="401"/>
        <v>90.000000000000014</v>
      </c>
      <c r="AM306" s="473">
        <f t="shared" si="402"/>
        <v>350</v>
      </c>
      <c r="AO306">
        <f t="shared" si="403"/>
        <v>90.000000000000014</v>
      </c>
      <c r="AP306">
        <f t="shared" si="404"/>
        <v>350</v>
      </c>
      <c r="AR306" s="5">
        <f t="shared" si="374"/>
        <v>2.8571428571428572</v>
      </c>
      <c r="AS306" s="5">
        <f t="shared" si="353"/>
        <v>0.49091168830481696</v>
      </c>
      <c r="AT306" s="5">
        <f t="shared" si="354"/>
        <v>2.3662311688380404</v>
      </c>
      <c r="AU306" s="180">
        <f t="shared" si="355"/>
        <v>0.17181909090668593</v>
      </c>
      <c r="CB306" s="582">
        <f t="shared" si="405"/>
        <v>-50</v>
      </c>
    </row>
    <row r="307" spans="5:80" x14ac:dyDescent="0.25">
      <c r="E307" s="177">
        <v>91</v>
      </c>
      <c r="F307" s="224">
        <f t="shared" si="406"/>
        <v>9.1000000000000011E-2</v>
      </c>
      <c r="G307" s="224">
        <f t="shared" si="375"/>
        <v>9.1000000000000011E-2</v>
      </c>
      <c r="H307" s="224">
        <f t="shared" si="376"/>
        <v>0.57330000000000003</v>
      </c>
      <c r="I307" s="224">
        <f t="shared" si="377"/>
        <v>1.3650000000000002</v>
      </c>
      <c r="J307" s="560">
        <f t="shared" si="378"/>
        <v>50</v>
      </c>
      <c r="K307" s="455">
        <f t="shared" si="379"/>
        <v>13.1</v>
      </c>
      <c r="L307" s="455">
        <f t="shared" si="380"/>
        <v>63.1</v>
      </c>
      <c r="M307" s="455"/>
      <c r="N307" s="224">
        <f t="shared" si="381"/>
        <v>0.20760697305863707</v>
      </c>
      <c r="O307" s="179">
        <f t="shared" si="382"/>
        <v>2.0033341889689962</v>
      </c>
      <c r="P307" s="179">
        <f t="shared" si="383"/>
        <v>4.7698433070690385</v>
      </c>
      <c r="Q307" s="224">
        <f t="shared" si="384"/>
        <v>0.31798955380460259</v>
      </c>
      <c r="R307" s="224">
        <f t="shared" si="385"/>
        <v>0.13355561259793308</v>
      </c>
      <c r="S307" s="224">
        <f t="shared" si="386"/>
        <v>6.3</v>
      </c>
      <c r="T307" s="224">
        <f t="shared" si="387"/>
        <v>0.41495073791348613</v>
      </c>
      <c r="U307" s="224">
        <f t="shared" si="388"/>
        <v>0.45644581170483473</v>
      </c>
      <c r="V307" s="224">
        <f t="shared" si="389"/>
        <v>1.7421595866596746</v>
      </c>
      <c r="W307" s="204">
        <f t="shared" si="390"/>
        <v>350</v>
      </c>
      <c r="X307" s="455">
        <f t="shared" si="391"/>
        <v>350</v>
      </c>
      <c r="Z307" s="224">
        <f t="shared" si="392"/>
        <v>0.539238891061395</v>
      </c>
      <c r="AA307" s="180">
        <f t="shared" si="393"/>
        <v>2.2639800769753222</v>
      </c>
      <c r="AB307" s="180">
        <f t="shared" si="394"/>
        <v>0.1263812940814858</v>
      </c>
      <c r="AC307" s="180"/>
      <c r="AD307" s="180">
        <f t="shared" si="395"/>
        <v>1.217557251908397</v>
      </c>
      <c r="AE307" s="564">
        <f t="shared" si="396"/>
        <v>871.35084495369881</v>
      </c>
      <c r="AF307" s="547">
        <f t="shared" si="397"/>
        <v>3.6552440597785188E-2</v>
      </c>
      <c r="AH307" s="180">
        <f t="shared" si="398"/>
        <v>0.44875585587468186</v>
      </c>
      <c r="AI307" s="180">
        <f t="shared" si="399"/>
        <v>0.44875585587468186</v>
      </c>
      <c r="AJ307" s="180">
        <f t="shared" si="400"/>
        <v>1.3175969302775421</v>
      </c>
      <c r="AL307" s="564">
        <f t="shared" si="401"/>
        <v>91.000000000000014</v>
      </c>
      <c r="AM307" s="473">
        <f t="shared" si="402"/>
        <v>350</v>
      </c>
      <c r="AO307">
        <f t="shared" si="403"/>
        <v>91.000000000000014</v>
      </c>
      <c r="AP307">
        <f t="shared" si="404"/>
        <v>350</v>
      </c>
      <c r="AR307" s="5">
        <f t="shared" si="374"/>
        <v>2.8571428571428572</v>
      </c>
      <c r="AS307" s="5">
        <f t="shared" ref="AS307:AS316" si="407">L*AI307/J307*1000000</f>
        <v>0.49363144146214999</v>
      </c>
      <c r="AT307" s="5">
        <f t="shared" ref="AT307:AT316" si="408">AR307-AS307</f>
        <v>2.3635114156807071</v>
      </c>
      <c r="AU307" s="180">
        <f t="shared" ref="AU307:AU316" si="409">AS307/AR307</f>
        <v>0.17277100451175248</v>
      </c>
      <c r="CB307" s="582">
        <f t="shared" si="405"/>
        <v>-50</v>
      </c>
    </row>
    <row r="308" spans="5:80" x14ac:dyDescent="0.25">
      <c r="E308" s="177">
        <v>92</v>
      </c>
      <c r="F308" s="224">
        <f t="shared" si="406"/>
        <v>9.2000000000000012E-2</v>
      </c>
      <c r="G308" s="224">
        <f t="shared" si="375"/>
        <v>9.2000000000000012E-2</v>
      </c>
      <c r="H308" s="224">
        <f t="shared" si="376"/>
        <v>0.57960000000000012</v>
      </c>
      <c r="I308" s="224">
        <f t="shared" si="377"/>
        <v>1.3800000000000001</v>
      </c>
      <c r="J308" s="560">
        <f t="shared" si="378"/>
        <v>50</v>
      </c>
      <c r="K308" s="455">
        <f t="shared" si="379"/>
        <v>13.1</v>
      </c>
      <c r="L308" s="455">
        <f t="shared" si="380"/>
        <v>63.1</v>
      </c>
      <c r="M308" s="455"/>
      <c r="N308" s="224">
        <f t="shared" si="381"/>
        <v>0.20760697305863707</v>
      </c>
      <c r="O308" s="179">
        <f t="shared" si="382"/>
        <v>2.0033341889689962</v>
      </c>
      <c r="P308" s="179">
        <f t="shared" si="383"/>
        <v>4.7698433070690385</v>
      </c>
      <c r="Q308" s="224">
        <f t="shared" si="384"/>
        <v>0.31798955380460259</v>
      </c>
      <c r="R308" s="224">
        <f t="shared" si="385"/>
        <v>0.13355561259793308</v>
      </c>
      <c r="S308" s="224">
        <f t="shared" si="386"/>
        <v>6.3</v>
      </c>
      <c r="T308" s="224">
        <f t="shared" si="387"/>
        <v>0.4195106361323156</v>
      </c>
      <c r="U308" s="224">
        <f t="shared" si="388"/>
        <v>0.46146169974554713</v>
      </c>
      <c r="V308" s="224">
        <f t="shared" si="389"/>
        <v>1.7613041975020887</v>
      </c>
      <c r="W308" s="204">
        <f t="shared" si="390"/>
        <v>350</v>
      </c>
      <c r="X308" s="455">
        <f t="shared" si="391"/>
        <v>350</v>
      </c>
      <c r="Z308" s="224">
        <f t="shared" si="392"/>
        <v>0.539238891061395</v>
      </c>
      <c r="AA308" s="180">
        <f t="shared" si="393"/>
        <v>2.2639800769753222</v>
      </c>
      <c r="AB308" s="180">
        <f t="shared" si="394"/>
        <v>0.1263812940814858</v>
      </c>
      <c r="AC308" s="180"/>
      <c r="AD308" s="180">
        <f t="shared" si="395"/>
        <v>1.217557251908397</v>
      </c>
      <c r="AE308" s="564">
        <f t="shared" si="396"/>
        <v>880.9261289641787</v>
      </c>
      <c r="AF308" s="547">
        <f t="shared" si="397"/>
        <v>3.6552440597785188E-2</v>
      </c>
      <c r="AH308" s="180">
        <f t="shared" si="398"/>
        <v>0.4512148104781194</v>
      </c>
      <c r="AI308" s="180">
        <f t="shared" si="399"/>
        <v>0.4512148104781194</v>
      </c>
      <c r="AJ308" s="180">
        <f t="shared" si="400"/>
        <v>1.3194183781319402</v>
      </c>
      <c r="AL308" s="564">
        <f t="shared" si="401"/>
        <v>92.000000000000014</v>
      </c>
      <c r="AM308" s="473">
        <f t="shared" si="402"/>
        <v>350</v>
      </c>
      <c r="AO308">
        <f t="shared" si="403"/>
        <v>92.000000000000014</v>
      </c>
      <c r="AP308">
        <f t="shared" si="404"/>
        <v>350</v>
      </c>
      <c r="AR308" s="5">
        <f t="shared" si="374"/>
        <v>2.8571428571428572</v>
      </c>
      <c r="AS308" s="5">
        <f t="shared" si="407"/>
        <v>0.49633629152593128</v>
      </c>
      <c r="AT308" s="5">
        <f t="shared" si="408"/>
        <v>2.3608065656169259</v>
      </c>
      <c r="AU308" s="180">
        <f t="shared" si="409"/>
        <v>0.17371770203407594</v>
      </c>
      <c r="CB308" s="582">
        <f t="shared" si="405"/>
        <v>-50</v>
      </c>
    </row>
    <row r="309" spans="5:80" x14ac:dyDescent="0.25">
      <c r="E309" s="177">
        <v>93</v>
      </c>
      <c r="F309" s="224">
        <f t="shared" si="406"/>
        <v>9.3000000000000013E-2</v>
      </c>
      <c r="G309" s="224">
        <f t="shared" si="375"/>
        <v>9.3000000000000013E-2</v>
      </c>
      <c r="H309" s="224">
        <f t="shared" si="376"/>
        <v>0.58590000000000009</v>
      </c>
      <c r="I309" s="224">
        <f t="shared" si="377"/>
        <v>1.3950000000000002</v>
      </c>
      <c r="J309" s="560">
        <f t="shared" si="378"/>
        <v>50</v>
      </c>
      <c r="K309" s="455">
        <f t="shared" si="379"/>
        <v>13.1</v>
      </c>
      <c r="L309" s="455">
        <f t="shared" si="380"/>
        <v>63.1</v>
      </c>
      <c r="M309" s="455"/>
      <c r="N309" s="224">
        <f t="shared" si="381"/>
        <v>0.20760697305863707</v>
      </c>
      <c r="O309" s="179">
        <f t="shared" si="382"/>
        <v>2.0033341889689962</v>
      </c>
      <c r="P309" s="179">
        <f t="shared" si="383"/>
        <v>4.7698433070690385</v>
      </c>
      <c r="Q309" s="224">
        <f t="shared" si="384"/>
        <v>0.31798955380460259</v>
      </c>
      <c r="R309" s="224">
        <f t="shared" si="385"/>
        <v>0.13355561259793308</v>
      </c>
      <c r="S309" s="224">
        <f t="shared" si="386"/>
        <v>6.3</v>
      </c>
      <c r="T309" s="224">
        <f t="shared" si="387"/>
        <v>0.42407053435114517</v>
      </c>
      <c r="U309" s="224">
        <f t="shared" si="388"/>
        <v>0.46647758778625975</v>
      </c>
      <c r="V309" s="224">
        <f t="shared" si="389"/>
        <v>1.7804488083445029</v>
      </c>
      <c r="W309" s="204">
        <f t="shared" si="390"/>
        <v>350</v>
      </c>
      <c r="X309" s="455">
        <f t="shared" si="391"/>
        <v>350</v>
      </c>
      <c r="Z309" s="224">
        <f t="shared" si="392"/>
        <v>0.539238891061395</v>
      </c>
      <c r="AA309" s="180">
        <f t="shared" si="393"/>
        <v>2.2639800769753222</v>
      </c>
      <c r="AB309" s="180">
        <f t="shared" si="394"/>
        <v>0.1263812940814858</v>
      </c>
      <c r="AC309" s="180"/>
      <c r="AD309" s="180">
        <f t="shared" si="395"/>
        <v>1.217557251908397</v>
      </c>
      <c r="AE309" s="564">
        <f t="shared" si="396"/>
        <v>890.50141297465905</v>
      </c>
      <c r="AF309" s="547">
        <f t="shared" si="397"/>
        <v>3.6552440597785188E-2</v>
      </c>
      <c r="AH309" s="180">
        <f t="shared" si="398"/>
        <v>0.45366043711987081</v>
      </c>
      <c r="AI309" s="180">
        <f t="shared" si="399"/>
        <v>0.45366043711987081</v>
      </c>
      <c r="AJ309" s="180">
        <f t="shared" si="400"/>
        <v>1.3212299534221266</v>
      </c>
      <c r="AL309" s="564">
        <f t="shared" si="401"/>
        <v>93.000000000000014</v>
      </c>
      <c r="AM309" s="473">
        <f t="shared" si="402"/>
        <v>350</v>
      </c>
      <c r="AO309">
        <f t="shared" si="403"/>
        <v>93.000000000000014</v>
      </c>
      <c r="AP309">
        <f t="shared" si="404"/>
        <v>350</v>
      </c>
      <c r="AR309" s="5">
        <f t="shared" si="374"/>
        <v>2.8571428571428572</v>
      </c>
      <c r="AS309" s="5">
        <f t="shared" si="407"/>
        <v>0.49902648083185785</v>
      </c>
      <c r="AT309" s="5">
        <f t="shared" si="408"/>
        <v>2.3581163763109991</v>
      </c>
      <c r="AU309" s="180">
        <f t="shared" si="409"/>
        <v>0.17465926829115025</v>
      </c>
      <c r="CB309" s="582">
        <f t="shared" si="405"/>
        <v>-50</v>
      </c>
    </row>
    <row r="310" spans="5:80" x14ac:dyDescent="0.25">
      <c r="E310" s="177">
        <v>94</v>
      </c>
      <c r="F310" s="224">
        <f t="shared" si="406"/>
        <v>9.4E-2</v>
      </c>
      <c r="G310" s="224">
        <f t="shared" si="375"/>
        <v>9.4E-2</v>
      </c>
      <c r="H310" s="224">
        <f t="shared" si="376"/>
        <v>0.59219999999999995</v>
      </c>
      <c r="I310" s="224">
        <f t="shared" si="377"/>
        <v>1.41</v>
      </c>
      <c r="J310" s="560">
        <f t="shared" si="378"/>
        <v>50</v>
      </c>
      <c r="K310" s="455">
        <f t="shared" si="379"/>
        <v>13.1</v>
      </c>
      <c r="L310" s="455">
        <f t="shared" si="380"/>
        <v>63.1</v>
      </c>
      <c r="M310" s="455"/>
      <c r="N310" s="224">
        <f t="shared" si="381"/>
        <v>0.20760697305863707</v>
      </c>
      <c r="O310" s="179">
        <f t="shared" si="382"/>
        <v>2.0033341889689962</v>
      </c>
      <c r="P310" s="179">
        <f t="shared" si="383"/>
        <v>4.7698433070690385</v>
      </c>
      <c r="Q310" s="224">
        <f t="shared" si="384"/>
        <v>0.31798955380460259</v>
      </c>
      <c r="R310" s="224">
        <f t="shared" si="385"/>
        <v>0.13355561259793308</v>
      </c>
      <c r="S310" s="224">
        <f t="shared" si="386"/>
        <v>6.3</v>
      </c>
      <c r="T310" s="224">
        <f t="shared" si="387"/>
        <v>0.42863043256997452</v>
      </c>
      <c r="U310" s="224">
        <f t="shared" si="388"/>
        <v>0.47149347582697204</v>
      </c>
      <c r="V310" s="224">
        <f t="shared" si="389"/>
        <v>1.7995934191869161</v>
      </c>
      <c r="W310" s="204">
        <f t="shared" si="390"/>
        <v>350</v>
      </c>
      <c r="X310" s="455">
        <f t="shared" si="391"/>
        <v>350</v>
      </c>
      <c r="Z310" s="224">
        <f t="shared" si="392"/>
        <v>0.539238891061395</v>
      </c>
      <c r="AA310" s="180">
        <f t="shared" si="393"/>
        <v>2.2639800769753222</v>
      </c>
      <c r="AB310" s="180">
        <f t="shared" si="394"/>
        <v>0.1263812940814858</v>
      </c>
      <c r="AC310" s="180"/>
      <c r="AD310" s="180">
        <f t="shared" si="395"/>
        <v>1.217557251908397</v>
      </c>
      <c r="AE310" s="564">
        <f t="shared" si="396"/>
        <v>900.07669698513905</v>
      </c>
      <c r="AF310" s="547">
        <f t="shared" si="397"/>
        <v>3.6552440597785188E-2</v>
      </c>
      <c r="AH310" s="180">
        <f t="shared" si="398"/>
        <v>0.45609295019850854</v>
      </c>
      <c r="AI310" s="180">
        <f t="shared" si="399"/>
        <v>0.45609295019850854</v>
      </c>
      <c r="AJ310" s="180">
        <f t="shared" si="400"/>
        <v>1.3230318149618581</v>
      </c>
      <c r="AL310" s="564">
        <f t="shared" si="401"/>
        <v>94</v>
      </c>
      <c r="AM310" s="473">
        <f t="shared" si="402"/>
        <v>350</v>
      </c>
      <c r="AO310">
        <f t="shared" si="403"/>
        <v>94</v>
      </c>
      <c r="AP310">
        <f t="shared" si="404"/>
        <v>350</v>
      </c>
      <c r="AR310" s="5">
        <f t="shared" si="374"/>
        <v>2.8571428571428572</v>
      </c>
      <c r="AS310" s="5">
        <f t="shared" si="407"/>
        <v>0.50170224521835938</v>
      </c>
      <c r="AT310" s="5">
        <f t="shared" si="408"/>
        <v>2.3554406119244979</v>
      </c>
      <c r="AU310" s="180">
        <f t="shared" si="409"/>
        <v>0.17559578582642577</v>
      </c>
      <c r="CB310" s="582">
        <f t="shared" si="405"/>
        <v>-50</v>
      </c>
    </row>
    <row r="311" spans="5:80" x14ac:dyDescent="0.25">
      <c r="E311" s="177">
        <v>95</v>
      </c>
      <c r="F311" s="224">
        <f t="shared" si="406"/>
        <v>9.5000000000000001E-2</v>
      </c>
      <c r="G311" s="224">
        <f t="shared" si="375"/>
        <v>9.5000000000000001E-2</v>
      </c>
      <c r="H311" s="224">
        <f t="shared" si="376"/>
        <v>0.59850000000000003</v>
      </c>
      <c r="I311" s="224">
        <f t="shared" si="377"/>
        <v>1.425</v>
      </c>
      <c r="J311" s="560">
        <f t="shared" si="378"/>
        <v>50</v>
      </c>
      <c r="K311" s="455">
        <f t="shared" si="379"/>
        <v>13.1</v>
      </c>
      <c r="L311" s="455">
        <f t="shared" si="380"/>
        <v>63.1</v>
      </c>
      <c r="M311" s="455"/>
      <c r="N311" s="224">
        <f t="shared" si="381"/>
        <v>0.20760697305863707</v>
      </c>
      <c r="O311" s="179">
        <f t="shared" si="382"/>
        <v>2.0033341889689962</v>
      </c>
      <c r="P311" s="179">
        <f t="shared" si="383"/>
        <v>4.7698433070690385</v>
      </c>
      <c r="Q311" s="224">
        <f t="shared" si="384"/>
        <v>0.31798955380460259</v>
      </c>
      <c r="R311" s="224">
        <f t="shared" si="385"/>
        <v>0.13355561259793308</v>
      </c>
      <c r="S311" s="224">
        <f t="shared" si="386"/>
        <v>6.3</v>
      </c>
      <c r="T311" s="224">
        <f t="shared" si="387"/>
        <v>0.4331903307888042</v>
      </c>
      <c r="U311" s="224">
        <f t="shared" si="388"/>
        <v>0.47650936386768467</v>
      </c>
      <c r="V311" s="224">
        <f t="shared" si="389"/>
        <v>1.8187380300293308</v>
      </c>
      <c r="W311" s="204">
        <f t="shared" si="390"/>
        <v>350</v>
      </c>
      <c r="X311" s="455">
        <f t="shared" si="391"/>
        <v>350</v>
      </c>
      <c r="Z311" s="224">
        <f t="shared" si="392"/>
        <v>0.539238891061395</v>
      </c>
      <c r="AA311" s="180">
        <f t="shared" si="393"/>
        <v>2.2639800769753222</v>
      </c>
      <c r="AB311" s="180">
        <f t="shared" si="394"/>
        <v>0.1263812940814858</v>
      </c>
      <c r="AC311" s="180"/>
      <c r="AD311" s="180">
        <f t="shared" si="395"/>
        <v>1.217557251908397</v>
      </c>
      <c r="AE311" s="564">
        <f t="shared" si="396"/>
        <v>909.6519809956194</v>
      </c>
      <c r="AF311" s="547">
        <f t="shared" si="397"/>
        <v>3.6552440597785188E-2</v>
      </c>
      <c r="AH311" s="180">
        <f t="shared" si="398"/>
        <v>0.45851255842535682</v>
      </c>
      <c r="AI311" s="180">
        <f t="shared" si="399"/>
        <v>0.45851255842535682</v>
      </c>
      <c r="AJ311" s="180">
        <f t="shared" si="400"/>
        <v>1.324824117352116</v>
      </c>
      <c r="AL311" s="564">
        <f t="shared" si="401"/>
        <v>95</v>
      </c>
      <c r="AM311" s="473">
        <f t="shared" si="402"/>
        <v>350</v>
      </c>
      <c r="AO311">
        <f t="shared" si="403"/>
        <v>95</v>
      </c>
      <c r="AP311">
        <f t="shared" si="404"/>
        <v>350</v>
      </c>
      <c r="AR311" s="5">
        <f t="shared" si="374"/>
        <v>2.8571428571428572</v>
      </c>
      <c r="AS311" s="5">
        <f t="shared" si="407"/>
        <v>0.50436381426789245</v>
      </c>
      <c r="AT311" s="5">
        <f t="shared" si="408"/>
        <v>2.3527790428749649</v>
      </c>
      <c r="AU311" s="180">
        <f t="shared" si="409"/>
        <v>0.17652733499376236</v>
      </c>
      <c r="CB311" s="582">
        <f t="shared" si="405"/>
        <v>-50</v>
      </c>
    </row>
    <row r="312" spans="5:80" x14ac:dyDescent="0.25">
      <c r="E312" s="177">
        <v>96</v>
      </c>
      <c r="F312" s="224">
        <f t="shared" si="406"/>
        <v>9.6000000000000002E-2</v>
      </c>
      <c r="G312" s="224">
        <f t="shared" si="375"/>
        <v>9.6000000000000002E-2</v>
      </c>
      <c r="H312" s="224">
        <f t="shared" si="376"/>
        <v>0.6048</v>
      </c>
      <c r="I312" s="224">
        <f t="shared" si="377"/>
        <v>1.44</v>
      </c>
      <c r="J312" s="560">
        <f t="shared" si="378"/>
        <v>50</v>
      </c>
      <c r="K312" s="455">
        <f t="shared" si="379"/>
        <v>13.1</v>
      </c>
      <c r="L312" s="455">
        <f t="shared" si="380"/>
        <v>63.1</v>
      </c>
      <c r="M312" s="455"/>
      <c r="N312" s="224">
        <f t="shared" si="381"/>
        <v>0.20760697305863707</v>
      </c>
      <c r="O312" s="179">
        <f t="shared" ref="O312:O316" si="410">N312*J312*Isw_max*0.5*Efficiency*Pout/(Pout+Pout2)</f>
        <v>2.0033341889689962</v>
      </c>
      <c r="P312" s="179">
        <f t="shared" si="383"/>
        <v>4.7698433070690385</v>
      </c>
      <c r="Q312" s="224">
        <f t="shared" si="384"/>
        <v>0.31798955380460259</v>
      </c>
      <c r="R312" s="224">
        <f t="shared" si="385"/>
        <v>0.13355561259793308</v>
      </c>
      <c r="S312" s="224">
        <f t="shared" si="386"/>
        <v>6.3</v>
      </c>
      <c r="T312" s="224">
        <f t="shared" si="387"/>
        <v>0.43775022900763361</v>
      </c>
      <c r="U312" s="224">
        <f t="shared" si="388"/>
        <v>0.48152525190839696</v>
      </c>
      <c r="V312" s="224">
        <f t="shared" si="389"/>
        <v>1.8378826408717441</v>
      </c>
      <c r="W312" s="204">
        <f t="shared" si="390"/>
        <v>350</v>
      </c>
      <c r="X312" s="455">
        <f t="shared" si="391"/>
        <v>350</v>
      </c>
      <c r="Z312" s="224">
        <f t="shared" si="392"/>
        <v>0.539238891061395</v>
      </c>
      <c r="AA312" s="180">
        <f t="shared" si="393"/>
        <v>2.2639800769753222</v>
      </c>
      <c r="AB312" s="180">
        <f t="shared" ref="AB312:AB316" si="411">0.5*AA312*Z312*Nps*W312/1000*(Pout/(Pout+Pout2))</f>
        <v>0.1263812940814858</v>
      </c>
      <c r="AC312" s="180"/>
      <c r="AD312" s="180">
        <f t="shared" si="395"/>
        <v>1.217557251908397</v>
      </c>
      <c r="AE312" s="564">
        <f t="shared" ref="AE312:AE316" si="412">MAX(10, F312/(0.5*AD312/1000000*Isw_min*Nps)/1000*Pout_total/Pout)</f>
        <v>919.2272650060994</v>
      </c>
      <c r="AF312" s="547">
        <f t="shared" si="397"/>
        <v>3.6552440597785188E-2</v>
      </c>
      <c r="AH312" s="180">
        <f t="shared" si="398"/>
        <v>0.46091946503348419</v>
      </c>
      <c r="AI312" s="180">
        <f t="shared" ref="AI312:AI316" si="413">MAX(IF(F312&gt;AB312,T312,AH312),Isw_min)</f>
        <v>0.46091946503348419</v>
      </c>
      <c r="AJ312" s="180">
        <f t="shared" ref="AJ312:AJ316" si="414">IF(F312&gt;AF312, (AI312-Isw_min)/1.08*0.8+1.2, AE312*0.2/350+1)</f>
        <v>1.3266070111359141</v>
      </c>
      <c r="AL312" s="564">
        <f t="shared" si="401"/>
        <v>96</v>
      </c>
      <c r="AM312" s="473">
        <f t="shared" si="402"/>
        <v>350</v>
      </c>
      <c r="AO312">
        <f t="shared" si="403"/>
        <v>96</v>
      </c>
      <c r="AP312">
        <f t="shared" si="404"/>
        <v>350</v>
      </c>
      <c r="AR312" s="5">
        <f t="shared" si="374"/>
        <v>2.8571428571428572</v>
      </c>
      <c r="AS312" s="5">
        <f t="shared" si="407"/>
        <v>0.5070114115368326</v>
      </c>
      <c r="AT312" s="5">
        <f t="shared" si="408"/>
        <v>2.3501314456060247</v>
      </c>
      <c r="AU312" s="180">
        <f t="shared" si="409"/>
        <v>0.17745399403789142</v>
      </c>
      <c r="CB312" s="582">
        <f t="shared" si="405"/>
        <v>-50</v>
      </c>
    </row>
    <row r="313" spans="5:80" x14ac:dyDescent="0.25">
      <c r="E313" s="177">
        <v>97</v>
      </c>
      <c r="F313" s="224">
        <f t="shared" ref="F313:F316" si="415">IF(PLOT_TYPE=1, E313/100*Iout_max, min_I*EXP(O313*rr/100))</f>
        <v>9.7000000000000003E-2</v>
      </c>
      <c r="G313" s="224">
        <f t="shared" si="375"/>
        <v>9.7000000000000003E-2</v>
      </c>
      <c r="H313" s="224">
        <f t="shared" si="376"/>
        <v>0.61109999999999998</v>
      </c>
      <c r="I313" s="224">
        <f t="shared" si="377"/>
        <v>1.4550000000000001</v>
      </c>
      <c r="J313" s="560">
        <f t="shared" si="378"/>
        <v>50</v>
      </c>
      <c r="K313" s="455">
        <f t="shared" si="379"/>
        <v>13.1</v>
      </c>
      <c r="L313" s="455">
        <f t="shared" si="380"/>
        <v>63.1</v>
      </c>
      <c r="M313" s="455"/>
      <c r="N313" s="224">
        <f t="shared" si="381"/>
        <v>0.20760697305863707</v>
      </c>
      <c r="O313" s="179">
        <f t="shared" si="410"/>
        <v>2.0033341889689962</v>
      </c>
      <c r="P313" s="179">
        <f t="shared" si="383"/>
        <v>4.7698433070690385</v>
      </c>
      <c r="Q313" s="224">
        <f t="shared" si="384"/>
        <v>0.31798955380460259</v>
      </c>
      <c r="R313" s="224">
        <f t="shared" si="385"/>
        <v>0.13355561259793308</v>
      </c>
      <c r="S313" s="224">
        <f t="shared" si="386"/>
        <v>6.3</v>
      </c>
      <c r="T313" s="224">
        <f t="shared" si="387"/>
        <v>0.44231012722646318</v>
      </c>
      <c r="U313" s="224">
        <f t="shared" si="388"/>
        <v>0.48654113994910947</v>
      </c>
      <c r="V313" s="224">
        <f t="shared" si="389"/>
        <v>1.8570272517141584</v>
      </c>
      <c r="W313" s="204">
        <f t="shared" si="390"/>
        <v>350</v>
      </c>
      <c r="X313" s="455">
        <f t="shared" si="391"/>
        <v>350</v>
      </c>
      <c r="Z313" s="224">
        <f t="shared" si="392"/>
        <v>0.539238891061395</v>
      </c>
      <c r="AA313" s="180">
        <f t="shared" si="393"/>
        <v>2.2639800769753222</v>
      </c>
      <c r="AB313" s="180">
        <f t="shared" si="411"/>
        <v>0.1263812940814858</v>
      </c>
      <c r="AC313" s="180"/>
      <c r="AD313" s="180">
        <f t="shared" si="395"/>
        <v>1.217557251908397</v>
      </c>
      <c r="AE313" s="564">
        <f t="shared" si="412"/>
        <v>928.80254901657975</v>
      </c>
      <c r="AF313" s="547">
        <f t="shared" si="397"/>
        <v>3.6552440597785188E-2</v>
      </c>
      <c r="AH313" s="180">
        <f t="shared" si="398"/>
        <v>0.46331386797692586</v>
      </c>
      <c r="AI313" s="180">
        <f t="shared" si="413"/>
        <v>0.46331386797692586</v>
      </c>
      <c r="AJ313" s="180">
        <f t="shared" si="414"/>
        <v>1.3283806429458709</v>
      </c>
      <c r="AL313" s="564">
        <f t="shared" si="401"/>
        <v>97</v>
      </c>
      <c r="AM313" s="473">
        <f t="shared" si="402"/>
        <v>350</v>
      </c>
      <c r="AO313">
        <f t="shared" si="403"/>
        <v>97</v>
      </c>
      <c r="AP313">
        <f t="shared" si="404"/>
        <v>350</v>
      </c>
      <c r="AR313" s="5">
        <f t="shared" si="374"/>
        <v>2.8571428571428572</v>
      </c>
      <c r="AS313" s="5">
        <f t="shared" si="407"/>
        <v>0.50964525477461842</v>
      </c>
      <c r="AT313" s="5">
        <f t="shared" si="408"/>
        <v>2.3474976023682386</v>
      </c>
      <c r="AU313" s="180">
        <f t="shared" si="409"/>
        <v>0.17837583917111643</v>
      </c>
      <c r="CB313" s="582">
        <f t="shared" si="405"/>
        <v>-50</v>
      </c>
    </row>
    <row r="314" spans="5:80" x14ac:dyDescent="0.25">
      <c r="E314" s="177">
        <v>98</v>
      </c>
      <c r="F314" s="224">
        <f t="shared" si="415"/>
        <v>9.8000000000000004E-2</v>
      </c>
      <c r="G314" s="224">
        <f t="shared" si="375"/>
        <v>9.8000000000000004E-2</v>
      </c>
      <c r="H314" s="224">
        <f t="shared" si="376"/>
        <v>0.61740000000000006</v>
      </c>
      <c r="I314" s="224">
        <f t="shared" si="377"/>
        <v>1.47</v>
      </c>
      <c r="J314" s="560">
        <f t="shared" si="378"/>
        <v>50</v>
      </c>
      <c r="K314" s="455">
        <f t="shared" si="379"/>
        <v>13.1</v>
      </c>
      <c r="L314" s="455">
        <f t="shared" si="380"/>
        <v>63.1</v>
      </c>
      <c r="M314" s="455"/>
      <c r="N314" s="224">
        <f t="shared" si="381"/>
        <v>0.20760697305863707</v>
      </c>
      <c r="O314" s="179">
        <f t="shared" si="410"/>
        <v>2.0033341889689962</v>
      </c>
      <c r="P314" s="179">
        <f t="shared" si="383"/>
        <v>4.7698433070690385</v>
      </c>
      <c r="Q314" s="224">
        <f t="shared" si="384"/>
        <v>0.31798955380460259</v>
      </c>
      <c r="R314" s="224">
        <f t="shared" si="385"/>
        <v>0.13355561259793308</v>
      </c>
      <c r="S314" s="224">
        <f t="shared" si="386"/>
        <v>6.3</v>
      </c>
      <c r="T314" s="224">
        <f t="shared" si="387"/>
        <v>0.4468700254452927</v>
      </c>
      <c r="U314" s="224">
        <f t="shared" si="388"/>
        <v>0.49155702798982198</v>
      </c>
      <c r="V314" s="224">
        <f t="shared" si="389"/>
        <v>1.8761718625565726</v>
      </c>
      <c r="W314" s="204">
        <f t="shared" si="390"/>
        <v>350</v>
      </c>
      <c r="X314" s="455">
        <f t="shared" si="391"/>
        <v>350</v>
      </c>
      <c r="Z314" s="224">
        <f t="shared" si="392"/>
        <v>0.539238891061395</v>
      </c>
      <c r="AA314" s="180">
        <f t="shared" si="393"/>
        <v>2.2639800769753222</v>
      </c>
      <c r="AB314" s="180">
        <f t="shared" si="411"/>
        <v>0.1263812940814858</v>
      </c>
      <c r="AC314" s="180"/>
      <c r="AD314" s="180">
        <f t="shared" si="395"/>
        <v>1.217557251908397</v>
      </c>
      <c r="AE314" s="564">
        <f t="shared" si="412"/>
        <v>938.37783302706009</v>
      </c>
      <c r="AF314" s="547">
        <f t="shared" si="397"/>
        <v>3.6552440597785188E-2</v>
      </c>
      <c r="AH314" s="180">
        <f t="shared" si="398"/>
        <v>0.4656959601206857</v>
      </c>
      <c r="AI314" s="180">
        <f t="shared" si="413"/>
        <v>0.4656959601206857</v>
      </c>
      <c r="AJ314" s="180">
        <f t="shared" si="414"/>
        <v>1.3301451556449524</v>
      </c>
      <c r="AL314" s="564">
        <f t="shared" si="401"/>
        <v>98</v>
      </c>
      <c r="AM314" s="473">
        <f t="shared" si="402"/>
        <v>350</v>
      </c>
      <c r="AO314">
        <f t="shared" si="403"/>
        <v>98</v>
      </c>
      <c r="AP314">
        <f t="shared" si="404"/>
        <v>350</v>
      </c>
      <c r="AR314" s="5">
        <f t="shared" si="374"/>
        <v>2.8571428571428572</v>
      </c>
      <c r="AS314" s="5">
        <f t="shared" si="407"/>
        <v>0.51226555613275426</v>
      </c>
      <c r="AT314" s="5">
        <f t="shared" si="408"/>
        <v>2.3448773010101029</v>
      </c>
      <c r="AU314" s="180">
        <f t="shared" si="409"/>
        <v>0.17929294464646398</v>
      </c>
      <c r="CB314" s="582">
        <f t="shared" si="405"/>
        <v>-50</v>
      </c>
    </row>
    <row r="315" spans="5:80" x14ac:dyDescent="0.25">
      <c r="E315" s="177">
        <v>99</v>
      </c>
      <c r="F315" s="224">
        <f t="shared" si="415"/>
        <v>9.9000000000000005E-2</v>
      </c>
      <c r="G315" s="224">
        <f t="shared" si="375"/>
        <v>9.9000000000000005E-2</v>
      </c>
      <c r="H315" s="224">
        <f t="shared" si="376"/>
        <v>0.62370000000000003</v>
      </c>
      <c r="I315" s="224">
        <f t="shared" si="377"/>
        <v>1.4850000000000001</v>
      </c>
      <c r="J315" s="560">
        <f t="shared" si="378"/>
        <v>50</v>
      </c>
      <c r="K315" s="455">
        <f t="shared" si="379"/>
        <v>13.1</v>
      </c>
      <c r="L315" s="455">
        <f t="shared" si="380"/>
        <v>63.1</v>
      </c>
      <c r="M315" s="455"/>
      <c r="N315" s="224">
        <f t="shared" si="381"/>
        <v>0.20760697305863707</v>
      </c>
      <c r="O315" s="179">
        <f t="shared" si="410"/>
        <v>2.0033341889689962</v>
      </c>
      <c r="P315" s="179">
        <f t="shared" si="383"/>
        <v>4.7698433070690385</v>
      </c>
      <c r="Q315" s="224">
        <f t="shared" si="384"/>
        <v>0.31798955380460259</v>
      </c>
      <c r="R315" s="224">
        <f t="shared" si="385"/>
        <v>0.13355561259793308</v>
      </c>
      <c r="S315" s="224">
        <f t="shared" si="386"/>
        <v>6.3</v>
      </c>
      <c r="T315" s="224">
        <f t="shared" si="387"/>
        <v>0.45142992366412221</v>
      </c>
      <c r="U315" s="224">
        <f t="shared" si="388"/>
        <v>0.49657291603053444</v>
      </c>
      <c r="V315" s="224">
        <f t="shared" si="389"/>
        <v>1.8953164733989867</v>
      </c>
      <c r="W315" s="204">
        <f t="shared" si="390"/>
        <v>350</v>
      </c>
      <c r="X315" s="455">
        <f t="shared" si="391"/>
        <v>350</v>
      </c>
      <c r="Z315" s="224">
        <f t="shared" si="392"/>
        <v>0.539238891061395</v>
      </c>
      <c r="AA315" s="180">
        <f t="shared" si="393"/>
        <v>2.2639800769753222</v>
      </c>
      <c r="AB315" s="180">
        <f t="shared" si="411"/>
        <v>0.1263812940814858</v>
      </c>
      <c r="AC315" s="180"/>
      <c r="AD315" s="180">
        <f t="shared" si="395"/>
        <v>1.217557251908397</v>
      </c>
      <c r="AE315" s="564">
        <f t="shared" si="412"/>
        <v>947.9531170375401</v>
      </c>
      <c r="AF315" s="547">
        <f t="shared" si="397"/>
        <v>3.6552440597785188E-2</v>
      </c>
      <c r="AH315" s="180">
        <f t="shared" si="398"/>
        <v>0.4680659294220359</v>
      </c>
      <c r="AI315" s="180">
        <f t="shared" si="413"/>
        <v>0.4680659294220359</v>
      </c>
      <c r="AJ315" s="180">
        <f t="shared" si="414"/>
        <v>1.3319006884607674</v>
      </c>
      <c r="AL315" s="564">
        <f t="shared" si="401"/>
        <v>99</v>
      </c>
      <c r="AM315" s="473">
        <f t="shared" si="402"/>
        <v>350</v>
      </c>
      <c r="AO315">
        <f t="shared" si="403"/>
        <v>99</v>
      </c>
      <c r="AP315">
        <f t="shared" si="404"/>
        <v>350</v>
      </c>
      <c r="AR315" s="5">
        <f t="shared" si="374"/>
        <v>2.8571428571428572</v>
      </c>
      <c r="AS315" s="5">
        <f t="shared" si="407"/>
        <v>0.51487252236423953</v>
      </c>
      <c r="AT315" s="5">
        <f t="shared" si="408"/>
        <v>2.3422703347786178</v>
      </c>
      <c r="AU315" s="180">
        <f t="shared" si="409"/>
        <v>0.18020538282748383</v>
      </c>
      <c r="CB315" s="582">
        <f t="shared" si="405"/>
        <v>-50</v>
      </c>
    </row>
    <row r="316" spans="5:80" x14ac:dyDescent="0.25">
      <c r="E316" s="177">
        <v>100</v>
      </c>
      <c r="F316" s="224">
        <f t="shared" si="415"/>
        <v>0.1</v>
      </c>
      <c r="G316" s="224">
        <f t="shared" si="375"/>
        <v>0.1</v>
      </c>
      <c r="H316" s="224">
        <f t="shared" si="376"/>
        <v>0.63</v>
      </c>
      <c r="I316" s="224">
        <f t="shared" si="377"/>
        <v>1.5</v>
      </c>
      <c r="J316" s="560">
        <f t="shared" si="378"/>
        <v>50</v>
      </c>
      <c r="K316" s="455">
        <f t="shared" si="379"/>
        <v>13.1</v>
      </c>
      <c r="L316" s="455">
        <f t="shared" si="380"/>
        <v>63.1</v>
      </c>
      <c r="M316" s="455"/>
      <c r="N316" s="224">
        <f t="shared" si="381"/>
        <v>0.20760697305863707</v>
      </c>
      <c r="O316" s="179">
        <f t="shared" si="410"/>
        <v>2.0033341889689962</v>
      </c>
      <c r="P316" s="179">
        <f t="shared" si="383"/>
        <v>4.7698433070690385</v>
      </c>
      <c r="Q316" s="224">
        <f t="shared" si="384"/>
        <v>0.31798955380460259</v>
      </c>
      <c r="R316" s="224">
        <f t="shared" si="385"/>
        <v>0.13355561259793308</v>
      </c>
      <c r="S316" s="224">
        <f t="shared" si="386"/>
        <v>6.3</v>
      </c>
      <c r="T316" s="224">
        <f t="shared" si="387"/>
        <v>0.45598982188295167</v>
      </c>
      <c r="U316" s="224">
        <f t="shared" si="388"/>
        <v>0.50158880407124695</v>
      </c>
      <c r="V316" s="224">
        <f t="shared" si="389"/>
        <v>1.9144610842414005</v>
      </c>
      <c r="W316" s="204">
        <f t="shared" si="390"/>
        <v>350</v>
      </c>
      <c r="X316" s="455">
        <f t="shared" si="391"/>
        <v>350</v>
      </c>
      <c r="Z316" s="224">
        <f t="shared" si="392"/>
        <v>0.539238891061395</v>
      </c>
      <c r="AA316" s="180">
        <f t="shared" si="393"/>
        <v>2.2639800769753222</v>
      </c>
      <c r="AB316" s="180">
        <f t="shared" si="411"/>
        <v>0.1263812940814858</v>
      </c>
      <c r="AC316" s="180"/>
      <c r="AD316" s="180">
        <f t="shared" si="395"/>
        <v>1.217557251908397</v>
      </c>
      <c r="AE316" s="564">
        <f t="shared" si="412"/>
        <v>957.52840104802033</v>
      </c>
      <c r="AF316" s="547">
        <f t="shared" si="397"/>
        <v>3.6552440597785188E-2</v>
      </c>
      <c r="AH316" s="180">
        <f t="shared" si="398"/>
        <v>0.47042395910359552</v>
      </c>
      <c r="AI316" s="180">
        <f t="shared" si="413"/>
        <v>0.47042395910359552</v>
      </c>
      <c r="AJ316" s="180">
        <f t="shared" si="414"/>
        <v>1.3336473771137745</v>
      </c>
      <c r="AL316" s="564">
        <f t="shared" si="401"/>
        <v>100</v>
      </c>
      <c r="AM316" s="473">
        <f t="shared" si="402"/>
        <v>350</v>
      </c>
      <c r="AO316">
        <f t="shared" si="403"/>
        <v>100</v>
      </c>
      <c r="AP316">
        <f t="shared" si="404"/>
        <v>350</v>
      </c>
      <c r="AR316" s="5">
        <f t="shared" si="374"/>
        <v>2.8571428571428572</v>
      </c>
      <c r="AS316" s="5">
        <f t="shared" si="407"/>
        <v>0.51746635501395499</v>
      </c>
      <c r="AT316" s="5">
        <f t="shared" si="408"/>
        <v>2.3396765021289023</v>
      </c>
      <c r="AU316" s="180">
        <f t="shared" si="409"/>
        <v>0.18111322425488424</v>
      </c>
      <c r="CB316" s="582">
        <f t="shared" si="405"/>
        <v>-50</v>
      </c>
    </row>
    <row r="317" spans="5:80" x14ac:dyDescent="0.25">
      <c r="E317" s="177"/>
      <c r="F317" s="224"/>
      <c r="G317" s="224"/>
    </row>
  </sheetData>
  <mergeCells count="1">
    <mergeCell ref="N3:Z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0000"/>
  </sheetPr>
  <dimension ref="C3:S106"/>
  <sheetViews>
    <sheetView workbookViewId="0">
      <selection activeCell="V6" sqref="V6"/>
    </sheetView>
  </sheetViews>
  <sheetFormatPr defaultRowHeight="13.2" x14ac:dyDescent="0.25"/>
  <cols>
    <col min="3" max="3" width="7.6640625" customWidth="1"/>
    <col min="5" max="5" width="10.33203125" customWidth="1"/>
    <col min="7" max="7" width="10.6640625" customWidth="1"/>
    <col min="8" max="8" width="9.6640625" customWidth="1"/>
    <col min="9" max="9" width="9.5546875" customWidth="1"/>
    <col min="10" max="10" width="8.6640625" customWidth="1"/>
    <col min="11" max="11" width="9.88671875" customWidth="1"/>
    <col min="12" max="12" width="10.6640625" customWidth="1"/>
    <col min="13" max="13" width="15" customWidth="1"/>
    <col min="14" max="14" width="11.44140625" customWidth="1"/>
    <col min="15" max="16" width="11" customWidth="1"/>
    <col min="17" max="17" width="11.109375" customWidth="1"/>
    <col min="18" max="18" width="11.33203125" customWidth="1"/>
    <col min="19" max="19" width="5.109375" customWidth="1"/>
  </cols>
  <sheetData>
    <row r="3" spans="3:19" ht="13.8" thickBot="1" x14ac:dyDescent="0.3"/>
    <row r="4" spans="3:19" x14ac:dyDescent="0.25">
      <c r="C4" s="227" t="s">
        <v>434</v>
      </c>
      <c r="D4" s="228"/>
      <c r="E4" s="229"/>
      <c r="F4" s="687" t="s">
        <v>190</v>
      </c>
      <c r="G4" s="688"/>
      <c r="H4" s="687"/>
      <c r="I4" s="687"/>
      <c r="J4" s="687"/>
      <c r="K4" s="688"/>
      <c r="L4" s="688"/>
      <c r="M4" s="688"/>
      <c r="N4" s="687"/>
      <c r="O4" s="690"/>
      <c r="P4" s="552"/>
      <c r="Q4" s="552"/>
      <c r="R4" s="552"/>
      <c r="S4" s="552"/>
    </row>
    <row r="5" spans="3:19" ht="45" customHeight="1" thickBot="1" x14ac:dyDescent="0.3">
      <c r="C5" s="248" t="s">
        <v>25</v>
      </c>
      <c r="D5" s="249" t="s">
        <v>425</v>
      </c>
      <c r="E5" s="250" t="s">
        <v>431</v>
      </c>
      <c r="F5" s="251" t="s">
        <v>48</v>
      </c>
      <c r="G5" s="546" t="s">
        <v>415</v>
      </c>
      <c r="H5" s="546" t="s">
        <v>416</v>
      </c>
      <c r="I5" s="546" t="s">
        <v>426</v>
      </c>
      <c r="J5" s="546" t="s">
        <v>427</v>
      </c>
      <c r="K5" s="546" t="s">
        <v>428</v>
      </c>
      <c r="L5" s="546" t="s">
        <v>429</v>
      </c>
      <c r="M5" s="253" t="s">
        <v>432</v>
      </c>
      <c r="N5" s="252" t="s">
        <v>433</v>
      </c>
      <c r="O5" s="252" t="s">
        <v>430</v>
      </c>
      <c r="P5" s="252" t="s">
        <v>435</v>
      </c>
      <c r="Q5" s="252" t="s">
        <v>436</v>
      </c>
      <c r="R5" s="252" t="s">
        <v>437</v>
      </c>
      <c r="S5" s="252"/>
    </row>
    <row r="6" spans="3:19" x14ac:dyDescent="0.25">
      <c r="C6" s="177">
        <v>0.1</v>
      </c>
      <c r="D6" s="548">
        <f>VIN_min</f>
        <v>10</v>
      </c>
      <c r="E6" s="455">
        <f t="shared" ref="E6:E37" si="0">(Vout+Vfwd1)*Nps</f>
        <v>13.1</v>
      </c>
      <c r="F6" s="224">
        <f t="shared" ref="F6:F37" si="1">(Vout+Vfwd1)*Nps/((Vout+Vfwd1)*Nps+D6)</f>
        <v>0.5670995670995671</v>
      </c>
      <c r="G6" s="179">
        <f t="shared" ref="G6:G37" si="2">F6*D6*Isw_max*0.5*Efficiency</f>
        <v>3.7003246753246755</v>
      </c>
      <c r="H6" s="224">
        <f t="shared" ref="H6:H37" si="3">G6/Vout</f>
        <v>0.58735312306740883</v>
      </c>
      <c r="I6" s="455">
        <f t="shared" ref="I6:I37" si="4">(Vout+Vfwd1)*Nps+D6</f>
        <v>23.1</v>
      </c>
      <c r="J6" s="179">
        <f t="shared" ref="J6:J37" si="5">MIN(2*Vout*Iout/(Efficiency*D6*F6), 1.35)</f>
        <v>0.24687022900763358</v>
      </c>
      <c r="K6" s="179">
        <f t="shared" ref="K6:K37" si="6">L*J6/D6*1000000</f>
        <v>1.3577862595419847</v>
      </c>
      <c r="L6" s="179">
        <f t="shared" ref="L6:L37" si="7">L*J6/((Vout+Vfwd1)*Nps)*1000000</f>
        <v>1.0364780607190722</v>
      </c>
      <c r="M6" s="455">
        <f>MIN(1/(K6+L6)*1000, 350)</f>
        <v>350</v>
      </c>
      <c r="N6" s="204">
        <f t="shared" ref="N6:N37" si="8">IF(1/((350000*L)*(1/D6+1/E6))&gt;Isw_min, 350, 0.001/((Isw_min*L)*(1/D6+1/E6)))</f>
        <v>350</v>
      </c>
      <c r="O6" s="224">
        <f t="shared" ref="O6:O37" si="9">1/((N6*1000*L)*(1/D6+1/E6))</f>
        <v>0.29459717771406085</v>
      </c>
      <c r="P6" s="180">
        <f t="shared" ref="P6:P37" si="10">L*O6/E6*1000000</f>
        <v>1.2368583797155226</v>
      </c>
      <c r="Q6" s="180">
        <f t="shared" ref="Q6:Q37" si="11">0.5*P6*O6*Nps*N6/1000</f>
        <v>0.1275312457636627</v>
      </c>
      <c r="R6" s="180">
        <f t="shared" ref="R6:R37" si="12">L*Isw_min/E6*1000000</f>
        <v>1.217557251908397</v>
      </c>
    </row>
    <row r="7" spans="3:19" x14ac:dyDescent="0.25">
      <c r="C7" s="177">
        <v>1</v>
      </c>
      <c r="D7" s="5">
        <f t="shared" ref="D7:D38" si="13">C7/100*(VIN_max-VIN_min)+VIN_min</f>
        <v>10.4</v>
      </c>
      <c r="E7" s="455">
        <f t="shared" si="0"/>
        <v>13.1</v>
      </c>
      <c r="F7" s="224">
        <f t="shared" si="1"/>
        <v>0.55744680851063833</v>
      </c>
      <c r="G7" s="179">
        <f t="shared" si="2"/>
        <v>3.7828340425531919</v>
      </c>
      <c r="H7" s="224">
        <f t="shared" si="3"/>
        <v>0.60044984802431622</v>
      </c>
      <c r="I7" s="455">
        <f t="shared" si="4"/>
        <v>23.5</v>
      </c>
      <c r="J7" s="179">
        <f t="shared" si="5"/>
        <v>0.24148561362301815</v>
      </c>
      <c r="K7" s="179">
        <f t="shared" si="6"/>
        <v>1.2770873797371152</v>
      </c>
      <c r="L7" s="179">
        <f t="shared" si="7"/>
        <v>1.0138708968905343</v>
      </c>
      <c r="M7" s="455">
        <f t="shared" ref="M7:M70" si="14">MIN(1/(K7+L7)*1000, 350)</f>
        <v>350</v>
      </c>
      <c r="N7" s="204">
        <f t="shared" si="8"/>
        <v>350</v>
      </c>
      <c r="O7" s="224">
        <f t="shared" si="9"/>
        <v>0.30116606797457857</v>
      </c>
      <c r="P7" s="180">
        <f t="shared" si="10"/>
        <v>1.2644376899696048</v>
      </c>
      <c r="Q7" s="180">
        <f t="shared" si="11"/>
        <v>0.1332820045504518</v>
      </c>
      <c r="R7" s="180">
        <f t="shared" si="12"/>
        <v>1.217557251908397</v>
      </c>
    </row>
    <row r="8" spans="3:19" x14ac:dyDescent="0.25">
      <c r="C8" s="177">
        <v>2</v>
      </c>
      <c r="D8" s="5">
        <f t="shared" si="13"/>
        <v>10.8</v>
      </c>
      <c r="E8" s="455">
        <f t="shared" si="0"/>
        <v>13.1</v>
      </c>
      <c r="F8" s="224">
        <f t="shared" si="1"/>
        <v>0.54811715481171552</v>
      </c>
      <c r="G8" s="179">
        <f t="shared" si="2"/>
        <v>3.8625815899581597</v>
      </c>
      <c r="H8" s="224">
        <f t="shared" si="3"/>
        <v>0.61310818888224761</v>
      </c>
      <c r="I8" s="455">
        <f t="shared" si="4"/>
        <v>23.9</v>
      </c>
      <c r="J8" s="179">
        <f t="shared" si="5"/>
        <v>0.23649985863726319</v>
      </c>
      <c r="K8" s="179">
        <f t="shared" si="6"/>
        <v>1.2043974282453218</v>
      </c>
      <c r="L8" s="179">
        <f t="shared" si="7"/>
        <v>0.99293833779003637</v>
      </c>
      <c r="M8" s="455">
        <f t="shared" si="14"/>
        <v>350</v>
      </c>
      <c r="N8" s="204">
        <f t="shared" si="8"/>
        <v>350</v>
      </c>
      <c r="O8" s="224">
        <f t="shared" si="9"/>
        <v>0.30751507906319625</v>
      </c>
      <c r="P8" s="180">
        <f t="shared" si="10"/>
        <v>1.2910938433950987</v>
      </c>
      <c r="Q8" s="180">
        <f t="shared" si="11"/>
        <v>0.13896078886537738</v>
      </c>
      <c r="R8" s="180">
        <f t="shared" si="12"/>
        <v>1.217557251908397</v>
      </c>
    </row>
    <row r="9" spans="3:19" x14ac:dyDescent="0.25">
      <c r="C9" s="177">
        <v>3</v>
      </c>
      <c r="D9" s="5">
        <f t="shared" si="13"/>
        <v>11.2</v>
      </c>
      <c r="E9" s="455">
        <f t="shared" si="0"/>
        <v>13.1</v>
      </c>
      <c r="F9" s="224">
        <f t="shared" si="1"/>
        <v>0.53909465020576142</v>
      </c>
      <c r="G9" s="179">
        <f t="shared" si="2"/>
        <v>3.9397037037037048</v>
      </c>
      <c r="H9" s="224">
        <f t="shared" si="3"/>
        <v>0.62534979423868331</v>
      </c>
      <c r="I9" s="455">
        <f t="shared" si="4"/>
        <v>24.299999999999997</v>
      </c>
      <c r="J9" s="179">
        <f t="shared" si="5"/>
        <v>0.23187022900763357</v>
      </c>
      <c r="K9" s="179">
        <f t="shared" si="6"/>
        <v>1.1386484460196293</v>
      </c>
      <c r="L9" s="179">
        <f t="shared" si="7"/>
        <v>0.97350096148243104</v>
      </c>
      <c r="M9" s="455">
        <f t="shared" si="14"/>
        <v>350</v>
      </c>
      <c r="N9" s="204">
        <f t="shared" si="8"/>
        <v>350</v>
      </c>
      <c r="O9" s="224">
        <f t="shared" si="9"/>
        <v>0.31365506921062475</v>
      </c>
      <c r="P9" s="180">
        <f t="shared" si="10"/>
        <v>1.3168724279835389</v>
      </c>
      <c r="Q9" s="180">
        <f t="shared" si="11"/>
        <v>0.14456529938925911</v>
      </c>
      <c r="R9" s="180">
        <f t="shared" si="12"/>
        <v>1.217557251908397</v>
      </c>
    </row>
    <row r="10" spans="3:19" x14ac:dyDescent="0.25">
      <c r="C10" s="177">
        <v>4</v>
      </c>
      <c r="D10" s="5">
        <f t="shared" si="13"/>
        <v>11.6</v>
      </c>
      <c r="E10" s="455">
        <f t="shared" si="0"/>
        <v>13.1</v>
      </c>
      <c r="F10" s="224">
        <f t="shared" si="1"/>
        <v>0.53036437246963564</v>
      </c>
      <c r="G10" s="179">
        <f t="shared" si="2"/>
        <v>4.0143279352226724</v>
      </c>
      <c r="H10" s="224">
        <f t="shared" si="3"/>
        <v>0.63719491035280518</v>
      </c>
      <c r="I10" s="455">
        <f t="shared" si="4"/>
        <v>24.7</v>
      </c>
      <c r="J10" s="179">
        <f t="shared" si="5"/>
        <v>0.22755988418004738</v>
      </c>
      <c r="K10" s="179">
        <f t="shared" si="6"/>
        <v>1.0789477267157419</v>
      </c>
      <c r="L10" s="179">
        <f t="shared" si="7"/>
        <v>0.95540409388569525</v>
      </c>
      <c r="M10" s="455">
        <f t="shared" si="14"/>
        <v>350</v>
      </c>
      <c r="N10" s="204">
        <f t="shared" si="8"/>
        <v>350</v>
      </c>
      <c r="O10" s="224">
        <f t="shared" si="9"/>
        <v>0.31959619328040378</v>
      </c>
      <c r="P10" s="180">
        <f t="shared" si="10"/>
        <v>1.3418160786581841</v>
      </c>
      <c r="Q10" s="180">
        <f t="shared" si="11"/>
        <v>0.15009375878755807</v>
      </c>
      <c r="R10" s="180">
        <f t="shared" si="12"/>
        <v>1.217557251908397</v>
      </c>
    </row>
    <row r="11" spans="3:19" x14ac:dyDescent="0.25">
      <c r="C11" s="177">
        <v>5</v>
      </c>
      <c r="D11" s="5">
        <f t="shared" si="13"/>
        <v>12</v>
      </c>
      <c r="E11" s="455">
        <f t="shared" si="0"/>
        <v>13.1</v>
      </c>
      <c r="F11" s="224">
        <f t="shared" si="1"/>
        <v>0.52191235059760954</v>
      </c>
      <c r="G11" s="179">
        <f t="shared" si="2"/>
        <v>4.0865737051792825</v>
      </c>
      <c r="H11" s="224">
        <f t="shared" si="3"/>
        <v>0.64866249288560041</v>
      </c>
      <c r="I11" s="455">
        <f t="shared" si="4"/>
        <v>25.1</v>
      </c>
      <c r="J11" s="179">
        <f t="shared" si="5"/>
        <v>0.22353689567430027</v>
      </c>
      <c r="K11" s="179">
        <f t="shared" si="6"/>
        <v>1.0245441051738762</v>
      </c>
      <c r="L11" s="179">
        <f t="shared" si="7"/>
        <v>0.9385136841287417</v>
      </c>
      <c r="M11" s="455">
        <f t="shared" si="14"/>
        <v>350</v>
      </c>
      <c r="N11" s="204">
        <f t="shared" si="8"/>
        <v>350</v>
      </c>
      <c r="O11" s="224">
        <f t="shared" si="9"/>
        <v>0.32534795881409428</v>
      </c>
      <c r="P11" s="180">
        <f t="shared" si="10"/>
        <v>1.3659647125782586</v>
      </c>
      <c r="Q11" s="180">
        <f t="shared" si="11"/>
        <v>0.15554484086729611</v>
      </c>
      <c r="R11" s="180">
        <f t="shared" si="12"/>
        <v>1.217557251908397</v>
      </c>
    </row>
    <row r="12" spans="3:19" x14ac:dyDescent="0.25">
      <c r="C12" s="177">
        <v>6</v>
      </c>
      <c r="D12" s="5">
        <f t="shared" si="13"/>
        <v>12.4</v>
      </c>
      <c r="E12" s="455">
        <f t="shared" si="0"/>
        <v>13.1</v>
      </c>
      <c r="F12" s="224">
        <f t="shared" si="1"/>
        <v>0.51372549019607838</v>
      </c>
      <c r="G12" s="179">
        <f t="shared" si="2"/>
        <v>4.1565529411764706</v>
      </c>
      <c r="H12" s="224">
        <f t="shared" si="3"/>
        <v>0.65977030812324933</v>
      </c>
      <c r="I12" s="455">
        <f t="shared" si="4"/>
        <v>25.5</v>
      </c>
      <c r="J12" s="179">
        <f t="shared" si="5"/>
        <v>0.21977345481408522</v>
      </c>
      <c r="K12" s="179">
        <f t="shared" si="6"/>
        <v>0.97480161409473287</v>
      </c>
      <c r="L12" s="179">
        <f t="shared" si="7"/>
        <v>0.92271297822707543</v>
      </c>
      <c r="M12" s="455">
        <f t="shared" si="14"/>
        <v>350</v>
      </c>
      <c r="N12" s="204">
        <f t="shared" si="8"/>
        <v>350</v>
      </c>
      <c r="O12" s="224">
        <f t="shared" si="9"/>
        <v>0.33091927680162975</v>
      </c>
      <c r="P12" s="180">
        <f t="shared" si="10"/>
        <v>1.3893557422969189</v>
      </c>
      <c r="Q12" s="180">
        <f t="shared" si="11"/>
        <v>0.16091760911138075</v>
      </c>
      <c r="R12" s="180">
        <f t="shared" si="12"/>
        <v>1.217557251908397</v>
      </c>
    </row>
    <row r="13" spans="3:19" x14ac:dyDescent="0.25">
      <c r="C13" s="177">
        <v>7</v>
      </c>
      <c r="D13" s="5">
        <f t="shared" si="13"/>
        <v>12.8</v>
      </c>
      <c r="E13" s="455">
        <f t="shared" si="0"/>
        <v>13.1</v>
      </c>
      <c r="F13" s="224">
        <f t="shared" si="1"/>
        <v>0.50579150579150578</v>
      </c>
      <c r="G13" s="179">
        <f t="shared" si="2"/>
        <v>4.224370656370656</v>
      </c>
      <c r="H13" s="224">
        <f t="shared" si="3"/>
        <v>0.67053502482073912</v>
      </c>
      <c r="I13" s="455">
        <f t="shared" si="4"/>
        <v>25.9</v>
      </c>
      <c r="J13" s="179">
        <f t="shared" si="5"/>
        <v>0.21624522900763357</v>
      </c>
      <c r="K13" s="179">
        <f t="shared" si="6"/>
        <v>0.92917871839217558</v>
      </c>
      <c r="L13" s="179">
        <f t="shared" si="7"/>
        <v>0.90789981644426321</v>
      </c>
      <c r="M13" s="455">
        <f t="shared" si="14"/>
        <v>350</v>
      </c>
      <c r="N13" s="204">
        <f t="shared" si="8"/>
        <v>350</v>
      </c>
      <c r="O13" s="224">
        <f t="shared" si="9"/>
        <v>0.33631850774707911</v>
      </c>
      <c r="P13" s="180">
        <f t="shared" si="10"/>
        <v>1.4120242691671261</v>
      </c>
      <c r="Q13" s="180">
        <f t="shared" si="11"/>
        <v>0.16621146328813174</v>
      </c>
      <c r="R13" s="180">
        <f t="shared" si="12"/>
        <v>1.217557251908397</v>
      </c>
    </row>
    <row r="14" spans="3:19" s="77" customFormat="1" x14ac:dyDescent="0.25">
      <c r="C14" s="196">
        <v>8</v>
      </c>
      <c r="D14" s="553">
        <f t="shared" si="13"/>
        <v>13.2</v>
      </c>
      <c r="E14" s="554">
        <f t="shared" si="0"/>
        <v>13.1</v>
      </c>
      <c r="F14" s="336">
        <f t="shared" si="1"/>
        <v>0.49809885931558939</v>
      </c>
      <c r="G14" s="555">
        <f t="shared" si="2"/>
        <v>4.290125475285171</v>
      </c>
      <c r="H14" s="336">
        <f t="shared" si="3"/>
        <v>0.68097229766431289</v>
      </c>
      <c r="I14" s="554">
        <f t="shared" si="4"/>
        <v>26.299999999999997</v>
      </c>
      <c r="J14" s="179">
        <f t="shared" si="5"/>
        <v>0.21293083506823965</v>
      </c>
      <c r="K14" s="555">
        <f t="shared" si="6"/>
        <v>0.88721181278433192</v>
      </c>
      <c r="L14" s="555">
        <f t="shared" si="7"/>
        <v>0.8939844220422275</v>
      </c>
      <c r="M14" s="554">
        <f t="shared" si="14"/>
        <v>350</v>
      </c>
      <c r="N14" s="556">
        <f t="shared" si="8"/>
        <v>350</v>
      </c>
      <c r="O14" s="336">
        <f t="shared" si="9"/>
        <v>0.34155350353068981</v>
      </c>
      <c r="P14" s="180">
        <f t="shared" si="10"/>
        <v>1.4340032590983161</v>
      </c>
      <c r="Q14" s="557">
        <f t="shared" si="11"/>
        <v>0.17142609302681008</v>
      </c>
      <c r="R14" s="180">
        <f t="shared" si="12"/>
        <v>1.217557251908397</v>
      </c>
    </row>
    <row r="15" spans="3:19" x14ac:dyDescent="0.25">
      <c r="C15" s="177">
        <v>9</v>
      </c>
      <c r="D15" s="5">
        <f t="shared" si="13"/>
        <v>13.6</v>
      </c>
      <c r="E15" s="455">
        <f t="shared" si="0"/>
        <v>13.1</v>
      </c>
      <c r="F15" s="224">
        <f t="shared" si="1"/>
        <v>0.49063670411985016</v>
      </c>
      <c r="G15" s="179">
        <f t="shared" si="2"/>
        <v>4.3539101123595501</v>
      </c>
      <c r="H15" s="224">
        <f t="shared" si="3"/>
        <v>0.69109684323167464</v>
      </c>
      <c r="I15" s="455">
        <f t="shared" si="4"/>
        <v>26.7</v>
      </c>
      <c r="J15" s="179">
        <f t="shared" si="5"/>
        <v>0.20981140547822183</v>
      </c>
      <c r="K15" s="179">
        <f t="shared" si="6"/>
        <v>0.8485020074486912</v>
      </c>
      <c r="L15" s="179">
        <f t="shared" si="7"/>
        <v>0.88088758025207647</v>
      </c>
      <c r="M15" s="455">
        <f t="shared" si="14"/>
        <v>350</v>
      </c>
      <c r="N15" s="204">
        <f t="shared" si="8"/>
        <v>350</v>
      </c>
      <c r="O15" s="224">
        <f t="shared" si="9"/>
        <v>0.34663164550804998</v>
      </c>
      <c r="P15" s="180">
        <f t="shared" si="10"/>
        <v>1.4553237025147139</v>
      </c>
      <c r="Q15" s="180">
        <f t="shared" si="11"/>
        <v>0.17656143741234007</v>
      </c>
      <c r="R15" s="180">
        <f t="shared" si="12"/>
        <v>1.217557251908397</v>
      </c>
    </row>
    <row r="16" spans="3:19" x14ac:dyDescent="0.25">
      <c r="C16" s="177">
        <v>10</v>
      </c>
      <c r="D16" s="5">
        <f t="shared" si="13"/>
        <v>14</v>
      </c>
      <c r="E16" s="455">
        <f t="shared" si="0"/>
        <v>13.1</v>
      </c>
      <c r="F16" s="224">
        <f t="shared" si="1"/>
        <v>0.48339483394833943</v>
      </c>
      <c r="G16" s="179">
        <f t="shared" si="2"/>
        <v>4.4158118081180806</v>
      </c>
      <c r="H16" s="224">
        <f t="shared" si="3"/>
        <v>0.70092250922509214</v>
      </c>
      <c r="I16" s="455">
        <f t="shared" si="4"/>
        <v>27.1</v>
      </c>
      <c r="J16" s="179">
        <f t="shared" si="5"/>
        <v>0.20687022900763363</v>
      </c>
      <c r="K16" s="179">
        <f t="shared" si="6"/>
        <v>0.81270447110141775</v>
      </c>
      <c r="L16" s="179">
        <f t="shared" si="7"/>
        <v>0.86853912942136258</v>
      </c>
      <c r="M16" s="455">
        <f t="shared" si="14"/>
        <v>350</v>
      </c>
      <c r="N16" s="204">
        <f t="shared" si="8"/>
        <v>350</v>
      </c>
      <c r="O16" s="224">
        <f t="shared" si="9"/>
        <v>0.35155987923515603</v>
      </c>
      <c r="P16" s="180">
        <f t="shared" si="10"/>
        <v>1.4760147601476017</v>
      </c>
      <c r="Q16" s="180">
        <f t="shared" si="11"/>
        <v>0.18161764978937953</v>
      </c>
      <c r="R16" s="180">
        <f t="shared" si="12"/>
        <v>1.217557251908397</v>
      </c>
    </row>
    <row r="17" spans="3:18" x14ac:dyDescent="0.25">
      <c r="C17" s="177">
        <v>11</v>
      </c>
      <c r="D17" s="5">
        <f t="shared" si="13"/>
        <v>14.4</v>
      </c>
      <c r="E17" s="455">
        <f t="shared" si="0"/>
        <v>13.1</v>
      </c>
      <c r="F17" s="224">
        <f t="shared" si="1"/>
        <v>0.47636363636363638</v>
      </c>
      <c r="G17" s="179">
        <f t="shared" si="2"/>
        <v>4.4759127272727275</v>
      </c>
      <c r="H17" s="224">
        <f t="shared" si="3"/>
        <v>0.71046233766233768</v>
      </c>
      <c r="I17" s="455">
        <f t="shared" si="4"/>
        <v>27.5</v>
      </c>
      <c r="J17" s="179">
        <f t="shared" si="5"/>
        <v>0.20409245122985578</v>
      </c>
      <c r="K17" s="179">
        <f t="shared" si="6"/>
        <v>0.77951977900292135</v>
      </c>
      <c r="L17" s="179">
        <f t="shared" si="7"/>
        <v>0.85687670363679902</v>
      </c>
      <c r="M17" s="455">
        <f t="shared" si="14"/>
        <v>350</v>
      </c>
      <c r="N17" s="204">
        <f t="shared" si="8"/>
        <v>350</v>
      </c>
      <c r="O17" s="224">
        <f t="shared" si="9"/>
        <v>0.35634474616292799</v>
      </c>
      <c r="P17" s="180">
        <f t="shared" si="10"/>
        <v>1.4961038961038962</v>
      </c>
      <c r="Q17" s="180">
        <f t="shared" si="11"/>
        <v>0.18659506708167867</v>
      </c>
      <c r="R17" s="180">
        <f t="shared" si="12"/>
        <v>1.217557251908397</v>
      </c>
    </row>
    <row r="18" spans="3:18" x14ac:dyDescent="0.25">
      <c r="C18" s="177">
        <v>12</v>
      </c>
      <c r="D18" s="5">
        <f t="shared" si="13"/>
        <v>14.8</v>
      </c>
      <c r="E18" s="455">
        <f t="shared" si="0"/>
        <v>13.1</v>
      </c>
      <c r="F18" s="224">
        <f t="shared" si="1"/>
        <v>0.46953405017921146</v>
      </c>
      <c r="G18" s="179">
        <f t="shared" si="2"/>
        <v>4.5342903225806444</v>
      </c>
      <c r="H18" s="224">
        <f t="shared" si="3"/>
        <v>0.71972862263184834</v>
      </c>
      <c r="I18" s="455">
        <f t="shared" si="4"/>
        <v>27.9</v>
      </c>
      <c r="J18" s="179">
        <f t="shared" si="5"/>
        <v>0.2014648236022282</v>
      </c>
      <c r="K18" s="179">
        <f t="shared" si="6"/>
        <v>0.74868684446773992</v>
      </c>
      <c r="L18" s="179">
        <f t="shared" si="7"/>
        <v>0.84584467924599627</v>
      </c>
      <c r="M18" s="455">
        <f t="shared" si="14"/>
        <v>350</v>
      </c>
      <c r="N18" s="204">
        <f t="shared" si="8"/>
        <v>350</v>
      </c>
      <c r="O18" s="224">
        <f t="shared" si="9"/>
        <v>0.36099241260531589</v>
      </c>
      <c r="P18" s="180">
        <f t="shared" si="10"/>
        <v>1.5156169994879676</v>
      </c>
      <c r="Q18" s="180">
        <f t="shared" si="11"/>
        <v>0.19149418303077692</v>
      </c>
      <c r="R18" s="180">
        <f t="shared" si="12"/>
        <v>1.217557251908397</v>
      </c>
    </row>
    <row r="19" spans="3:18" x14ac:dyDescent="0.25">
      <c r="C19" s="177">
        <v>13</v>
      </c>
      <c r="D19" s="5">
        <f t="shared" si="13"/>
        <v>15.2</v>
      </c>
      <c r="E19" s="455">
        <f t="shared" si="0"/>
        <v>13.1</v>
      </c>
      <c r="F19" s="224">
        <f t="shared" si="1"/>
        <v>0.4628975265017668</v>
      </c>
      <c r="G19" s="179">
        <f t="shared" si="2"/>
        <v>4.5910176678445227</v>
      </c>
      <c r="H19" s="224">
        <f t="shared" si="3"/>
        <v>0.72873296314992431</v>
      </c>
      <c r="I19" s="455">
        <f t="shared" si="4"/>
        <v>28.299999999999997</v>
      </c>
      <c r="J19" s="179">
        <f t="shared" si="5"/>
        <v>0.19897549216552832</v>
      </c>
      <c r="K19" s="179">
        <f t="shared" si="6"/>
        <v>0.7199771098094776</v>
      </c>
      <c r="L19" s="179">
        <f t="shared" si="7"/>
        <v>0.83539328771786703</v>
      </c>
      <c r="M19" s="455">
        <f t="shared" si="14"/>
        <v>350</v>
      </c>
      <c r="N19" s="204">
        <f t="shared" si="8"/>
        <v>350</v>
      </c>
      <c r="O19" s="224">
        <f t="shared" si="9"/>
        <v>0.36550869625074572</v>
      </c>
      <c r="P19" s="180">
        <f t="shared" si="10"/>
        <v>1.5345784957092379</v>
      </c>
      <c r="Q19" s="180">
        <f t="shared" si="11"/>
        <v>0.19631562484138992</v>
      </c>
      <c r="R19" s="180">
        <f t="shared" si="12"/>
        <v>1.217557251908397</v>
      </c>
    </row>
    <row r="20" spans="3:18" x14ac:dyDescent="0.25">
      <c r="C20" s="177">
        <v>14</v>
      </c>
      <c r="D20" s="5">
        <f t="shared" si="13"/>
        <v>15.600000000000001</v>
      </c>
      <c r="E20" s="455">
        <f t="shared" si="0"/>
        <v>13.1</v>
      </c>
      <c r="F20" s="224">
        <f t="shared" si="1"/>
        <v>0.45644599303135885</v>
      </c>
      <c r="G20" s="179">
        <f t="shared" si="2"/>
        <v>4.6461637630662018</v>
      </c>
      <c r="H20" s="224">
        <f t="shared" si="3"/>
        <v>0.73748631159780986</v>
      </c>
      <c r="I20" s="455">
        <f t="shared" si="4"/>
        <v>28.700000000000003</v>
      </c>
      <c r="J20" s="179">
        <f t="shared" si="5"/>
        <v>0.19661381875122336</v>
      </c>
      <c r="K20" s="179">
        <f t="shared" si="6"/>
        <v>0.69318974559726187</v>
      </c>
      <c r="L20" s="179">
        <f t="shared" si="7"/>
        <v>0.82547786498605225</v>
      </c>
      <c r="M20" s="455">
        <f t="shared" si="14"/>
        <v>350</v>
      </c>
      <c r="N20" s="204">
        <f t="shared" si="8"/>
        <v>350</v>
      </c>
      <c r="O20" s="224">
        <f t="shared" si="9"/>
        <v>0.36989909045658176</v>
      </c>
      <c r="P20" s="180">
        <f t="shared" si="10"/>
        <v>1.553011448481832</v>
      </c>
      <c r="Q20" s="180">
        <f t="shared" si="11"/>
        <v>0.20106013279173091</v>
      </c>
      <c r="R20" s="180">
        <f t="shared" si="12"/>
        <v>1.217557251908397</v>
      </c>
    </row>
    <row r="21" spans="3:18" x14ac:dyDescent="0.25">
      <c r="C21" s="177">
        <v>15</v>
      </c>
      <c r="D21" s="5">
        <f t="shared" si="13"/>
        <v>16</v>
      </c>
      <c r="E21" s="455">
        <f t="shared" si="0"/>
        <v>13.1</v>
      </c>
      <c r="F21" s="224">
        <f t="shared" si="1"/>
        <v>0.45017182130584188</v>
      </c>
      <c r="G21" s="179">
        <f t="shared" si="2"/>
        <v>4.6997938144329892</v>
      </c>
      <c r="H21" s="224">
        <f t="shared" si="3"/>
        <v>0.74599901816396652</v>
      </c>
      <c r="I21" s="455">
        <f t="shared" si="4"/>
        <v>29.1</v>
      </c>
      <c r="J21" s="179">
        <f t="shared" si="5"/>
        <v>0.19437022900763362</v>
      </c>
      <c r="K21" s="179">
        <f t="shared" si="6"/>
        <v>0.66814766221374056</v>
      </c>
      <c r="L21" s="179">
        <f t="shared" si="7"/>
        <v>0.81605821339082829</v>
      </c>
      <c r="M21" s="455">
        <f t="shared" si="14"/>
        <v>350</v>
      </c>
      <c r="N21" s="204">
        <f t="shared" si="8"/>
        <v>350</v>
      </c>
      <c r="O21" s="224">
        <f t="shared" si="9"/>
        <v>0.37416878653992053</v>
      </c>
      <c r="P21" s="180">
        <f t="shared" si="10"/>
        <v>1.5709376534118804</v>
      </c>
      <c r="Q21" s="180">
        <f t="shared" si="11"/>
        <v>0.20572854242744773</v>
      </c>
      <c r="R21" s="180">
        <f t="shared" si="12"/>
        <v>1.217557251908397</v>
      </c>
    </row>
    <row r="22" spans="3:18" s="3" customFormat="1" x14ac:dyDescent="0.25">
      <c r="C22" s="340">
        <v>16</v>
      </c>
      <c r="D22" s="549">
        <f t="shared" si="13"/>
        <v>16.399999999999999</v>
      </c>
      <c r="E22" s="550">
        <f t="shared" si="0"/>
        <v>13.1</v>
      </c>
      <c r="F22" s="551">
        <f t="shared" si="1"/>
        <v>0.44406779661016949</v>
      </c>
      <c r="G22" s="339">
        <f t="shared" si="2"/>
        <v>4.7519694915254229</v>
      </c>
      <c r="H22" s="551">
        <f t="shared" si="3"/>
        <v>0.75428087167070212</v>
      </c>
      <c r="I22" s="550">
        <f t="shared" si="4"/>
        <v>29.5</v>
      </c>
      <c r="J22" s="179">
        <f t="shared" si="5"/>
        <v>0.19223608266617018</v>
      </c>
      <c r="K22" s="339">
        <f t="shared" si="6"/>
        <v>0.64469417967313181</v>
      </c>
      <c r="L22" s="339">
        <f t="shared" si="7"/>
        <v>0.80709805699537096</v>
      </c>
      <c r="M22" s="550">
        <f t="shared" si="14"/>
        <v>350</v>
      </c>
      <c r="N22" s="342">
        <f t="shared" si="8"/>
        <v>350</v>
      </c>
      <c r="O22" s="551">
        <f t="shared" si="9"/>
        <v>0.37832269425489756</v>
      </c>
      <c r="P22" s="180">
        <f t="shared" si="10"/>
        <v>1.588377723970944</v>
      </c>
      <c r="Q22" s="558">
        <f t="shared" si="11"/>
        <v>0.21032176900950234</v>
      </c>
      <c r="R22" s="180">
        <f t="shared" si="12"/>
        <v>1.217557251908397</v>
      </c>
    </row>
    <row r="23" spans="3:18" x14ac:dyDescent="0.25">
      <c r="C23" s="177">
        <v>17</v>
      </c>
      <c r="D23" s="5">
        <f t="shared" si="13"/>
        <v>16.8</v>
      </c>
      <c r="E23" s="455">
        <f t="shared" si="0"/>
        <v>13.1</v>
      </c>
      <c r="F23" s="224">
        <f t="shared" si="1"/>
        <v>0.43812709030100333</v>
      </c>
      <c r="G23" s="179">
        <f t="shared" si="2"/>
        <v>4.8027491638795983</v>
      </c>
      <c r="H23" s="224">
        <f t="shared" si="3"/>
        <v>0.76234113712374574</v>
      </c>
      <c r="I23" s="455">
        <f t="shared" si="4"/>
        <v>29.9</v>
      </c>
      <c r="J23" s="179">
        <f t="shared" si="5"/>
        <v>0.19020356234096694</v>
      </c>
      <c r="K23" s="179">
        <f t="shared" si="6"/>
        <v>0.62269023385435607</v>
      </c>
      <c r="L23" s="179">
        <f t="shared" si="7"/>
        <v>0.79856457471398334</v>
      </c>
      <c r="M23" s="455">
        <f t="shared" si="14"/>
        <v>350</v>
      </c>
      <c r="N23" s="204">
        <f t="shared" si="8"/>
        <v>350</v>
      </c>
      <c r="O23" s="224">
        <f t="shared" si="9"/>
        <v>0.3823654606263302</v>
      </c>
      <c r="P23" s="180">
        <f t="shared" si="10"/>
        <v>1.6053511705685619</v>
      </c>
      <c r="Q23" s="180">
        <f t="shared" si="11"/>
        <v>0.21484079393051331</v>
      </c>
      <c r="R23" s="180">
        <f t="shared" si="12"/>
        <v>1.217557251908397</v>
      </c>
    </row>
    <row r="24" spans="3:18" x14ac:dyDescent="0.25">
      <c r="C24" s="177">
        <v>18</v>
      </c>
      <c r="D24" s="5">
        <f t="shared" si="13"/>
        <v>17.2</v>
      </c>
      <c r="E24" s="455">
        <f t="shared" si="0"/>
        <v>13.1</v>
      </c>
      <c r="F24" s="224">
        <f t="shared" si="1"/>
        <v>0.43234323432343236</v>
      </c>
      <c r="G24" s="179">
        <f t="shared" si="2"/>
        <v>4.8521881188118812</v>
      </c>
      <c r="H24" s="224">
        <f t="shared" si="3"/>
        <v>0.77018859028760023</v>
      </c>
      <c r="I24" s="455">
        <f t="shared" si="4"/>
        <v>30.299999999999997</v>
      </c>
      <c r="J24" s="179">
        <f t="shared" si="5"/>
        <v>0.18826557784484288</v>
      </c>
      <c r="K24" s="179">
        <f t="shared" si="6"/>
        <v>0.60201202217827676</v>
      </c>
      <c r="L24" s="179">
        <f t="shared" si="7"/>
        <v>0.79042799858521828</v>
      </c>
      <c r="M24" s="455">
        <f t="shared" si="14"/>
        <v>350</v>
      </c>
      <c r="N24" s="204">
        <f t="shared" si="8"/>
        <v>350</v>
      </c>
      <c r="O24" s="224">
        <f t="shared" si="9"/>
        <v>0.38630148729158631</v>
      </c>
      <c r="P24" s="180">
        <f t="shared" si="10"/>
        <v>1.621876473361622</v>
      </c>
      <c r="Q24" s="180">
        <f t="shared" si="11"/>
        <v>0.21928665285198959</v>
      </c>
      <c r="R24" s="180">
        <f t="shared" si="12"/>
        <v>1.217557251908397</v>
      </c>
    </row>
    <row r="25" spans="3:18" x14ac:dyDescent="0.25">
      <c r="C25" s="177">
        <v>19</v>
      </c>
      <c r="D25" s="5">
        <f t="shared" si="13"/>
        <v>17.600000000000001</v>
      </c>
      <c r="E25" s="455">
        <f t="shared" si="0"/>
        <v>13.1</v>
      </c>
      <c r="F25" s="224">
        <f t="shared" si="1"/>
        <v>0.42671009771986967</v>
      </c>
      <c r="G25" s="179">
        <f t="shared" si="2"/>
        <v>4.9003387622149841</v>
      </c>
      <c r="H25" s="224">
        <f t="shared" si="3"/>
        <v>0.77783154955793399</v>
      </c>
      <c r="I25" s="455">
        <f t="shared" si="4"/>
        <v>30.700000000000003</v>
      </c>
      <c r="J25" s="179">
        <f t="shared" si="5"/>
        <v>0.18641568355308813</v>
      </c>
      <c r="K25" s="179">
        <f t="shared" si="6"/>
        <v>0.5825490111034004</v>
      </c>
      <c r="L25" s="179">
        <f t="shared" si="7"/>
        <v>0.78266126682594261</v>
      </c>
      <c r="M25" s="455">
        <f t="shared" si="14"/>
        <v>350</v>
      </c>
      <c r="N25" s="204">
        <f t="shared" si="8"/>
        <v>350</v>
      </c>
      <c r="O25" s="224">
        <f t="shared" si="9"/>
        <v>0.39013494648673802</v>
      </c>
      <c r="P25" s="180">
        <f t="shared" si="10"/>
        <v>1.637971149371801</v>
      </c>
      <c r="Q25" s="180">
        <f t="shared" si="11"/>
        <v>0.22366042534744593</v>
      </c>
      <c r="R25" s="180">
        <f t="shared" si="12"/>
        <v>1.217557251908397</v>
      </c>
    </row>
    <row r="26" spans="3:18" x14ac:dyDescent="0.25">
      <c r="C26" s="177">
        <v>20</v>
      </c>
      <c r="D26" s="5">
        <f t="shared" si="13"/>
        <v>18</v>
      </c>
      <c r="E26" s="455">
        <f t="shared" si="0"/>
        <v>13.1</v>
      </c>
      <c r="F26" s="224">
        <f t="shared" si="1"/>
        <v>0.42122186495176844</v>
      </c>
      <c r="G26" s="179">
        <f t="shared" si="2"/>
        <v>4.9472508038585206</v>
      </c>
      <c r="H26" s="224">
        <f t="shared" si="3"/>
        <v>0.78527790537436837</v>
      </c>
      <c r="I26" s="455">
        <f t="shared" si="4"/>
        <v>31.1</v>
      </c>
      <c r="J26" s="179">
        <f t="shared" si="5"/>
        <v>0.18464800678541141</v>
      </c>
      <c r="K26" s="179">
        <f t="shared" si="6"/>
        <v>0.56420224295542387</v>
      </c>
      <c r="L26" s="179">
        <f t="shared" si="7"/>
        <v>0.77523972314485712</v>
      </c>
      <c r="M26" s="455">
        <f t="shared" si="14"/>
        <v>350</v>
      </c>
      <c r="N26" s="204">
        <f t="shared" si="8"/>
        <v>350</v>
      </c>
      <c r="O26" s="224">
        <f t="shared" si="9"/>
        <v>0.39386979579905629</v>
      </c>
      <c r="P26" s="180">
        <f t="shared" si="10"/>
        <v>1.6536518144235188</v>
      </c>
      <c r="Q26" s="180">
        <f t="shared" si="11"/>
        <v>0.22796322586440559</v>
      </c>
      <c r="R26" s="180">
        <f t="shared" si="12"/>
        <v>1.217557251908397</v>
      </c>
    </row>
    <row r="27" spans="3:18" x14ac:dyDescent="0.25">
      <c r="C27" s="177">
        <v>21</v>
      </c>
      <c r="D27" s="5">
        <f t="shared" si="13"/>
        <v>18.399999999999999</v>
      </c>
      <c r="E27" s="455">
        <f t="shared" si="0"/>
        <v>13.1</v>
      </c>
      <c r="F27" s="224">
        <f t="shared" si="1"/>
        <v>0.41587301587301584</v>
      </c>
      <c r="G27" s="179">
        <f t="shared" si="2"/>
        <v>4.9929714285714279</v>
      </c>
      <c r="H27" s="224">
        <f t="shared" si="3"/>
        <v>0.79253514739229014</v>
      </c>
      <c r="I27" s="455">
        <f t="shared" si="4"/>
        <v>31.5</v>
      </c>
      <c r="J27" s="179">
        <f t="shared" si="5"/>
        <v>0.18295718552937273</v>
      </c>
      <c r="K27" s="179">
        <f t="shared" si="6"/>
        <v>0.54688289152801639</v>
      </c>
      <c r="L27" s="179">
        <f t="shared" si="7"/>
        <v>0.76814085527599252</v>
      </c>
      <c r="M27" s="455">
        <f t="shared" si="14"/>
        <v>350</v>
      </c>
      <c r="N27" s="204">
        <f t="shared" si="8"/>
        <v>350</v>
      </c>
      <c r="O27" s="224">
        <f t="shared" si="9"/>
        <v>0.39750979179550611</v>
      </c>
      <c r="P27" s="180">
        <f t="shared" si="10"/>
        <v>1.668934240362812</v>
      </c>
      <c r="Q27" s="180">
        <f t="shared" si="11"/>
        <v>0.23219619584245441</v>
      </c>
      <c r="R27" s="180">
        <f t="shared" si="12"/>
        <v>1.217557251908397</v>
      </c>
    </row>
    <row r="28" spans="3:18" x14ac:dyDescent="0.25">
      <c r="C28" s="177">
        <v>22</v>
      </c>
      <c r="D28" s="5">
        <f t="shared" si="13"/>
        <v>18.8</v>
      </c>
      <c r="E28" s="455">
        <f t="shared" si="0"/>
        <v>13.1</v>
      </c>
      <c r="F28" s="224">
        <f t="shared" si="1"/>
        <v>0.41065830721003138</v>
      </c>
      <c r="G28" s="179">
        <f t="shared" si="2"/>
        <v>5.0375454545454561</v>
      </c>
      <c r="H28" s="224">
        <f t="shared" si="3"/>
        <v>0.79961038961038988</v>
      </c>
      <c r="I28" s="455">
        <f t="shared" si="4"/>
        <v>31.9</v>
      </c>
      <c r="J28" s="179">
        <f t="shared" si="5"/>
        <v>0.18133831411401652</v>
      </c>
      <c r="K28" s="179">
        <f t="shared" si="6"/>
        <v>0.53051102533355898</v>
      </c>
      <c r="L28" s="179">
        <f t="shared" si="7"/>
        <v>0.76134406689090905</v>
      </c>
      <c r="M28" s="455">
        <f t="shared" si="14"/>
        <v>350</v>
      </c>
      <c r="N28" s="204">
        <f t="shared" si="8"/>
        <v>350</v>
      </c>
      <c r="O28" s="224">
        <f t="shared" si="9"/>
        <v>0.40105850262590076</v>
      </c>
      <c r="P28" s="180">
        <f t="shared" si="10"/>
        <v>1.6838334079713391</v>
      </c>
      <c r="Q28" s="180">
        <f t="shared" si="11"/>
        <v>0.23636049684535843</v>
      </c>
      <c r="R28" s="180">
        <f t="shared" si="12"/>
        <v>1.217557251908397</v>
      </c>
    </row>
    <row r="29" spans="3:18" x14ac:dyDescent="0.25">
      <c r="C29" s="177">
        <v>23</v>
      </c>
      <c r="D29" s="5">
        <f t="shared" si="13"/>
        <v>19.200000000000003</v>
      </c>
      <c r="E29" s="455">
        <f t="shared" si="0"/>
        <v>13.1</v>
      </c>
      <c r="F29" s="224">
        <f t="shared" si="1"/>
        <v>0.40557275541795657</v>
      </c>
      <c r="G29" s="179">
        <f t="shared" si="2"/>
        <v>5.0810154798761609</v>
      </c>
      <c r="H29" s="224">
        <f t="shared" si="3"/>
        <v>0.80651039363113664</v>
      </c>
      <c r="I29" s="455">
        <f t="shared" si="4"/>
        <v>32.300000000000004</v>
      </c>
      <c r="J29" s="179">
        <f t="shared" si="5"/>
        <v>0.17978689567430026</v>
      </c>
      <c r="K29" s="179">
        <f t="shared" si="6"/>
        <v>0.51501454490033927</v>
      </c>
      <c r="L29" s="179">
        <f t="shared" si="7"/>
        <v>0.75483047802187131</v>
      </c>
      <c r="M29" s="455">
        <f t="shared" si="14"/>
        <v>350</v>
      </c>
      <c r="N29" s="204">
        <f t="shared" si="8"/>
        <v>350</v>
      </c>
      <c r="O29" s="224">
        <f t="shared" si="9"/>
        <v>0.40451931968959837</v>
      </c>
      <c r="P29" s="180">
        <f t="shared" si="10"/>
        <v>1.6983635559486956</v>
      </c>
      <c r="Q29" s="180">
        <f t="shared" si="11"/>
        <v>0.2404573045832907</v>
      </c>
      <c r="R29" s="180">
        <f t="shared" si="12"/>
        <v>1.217557251908397</v>
      </c>
    </row>
    <row r="30" spans="3:18" x14ac:dyDescent="0.25">
      <c r="C30" s="177">
        <v>24</v>
      </c>
      <c r="D30" s="5">
        <f t="shared" si="13"/>
        <v>19.600000000000001</v>
      </c>
      <c r="E30" s="455">
        <f t="shared" si="0"/>
        <v>13.1</v>
      </c>
      <c r="F30" s="224">
        <f t="shared" si="1"/>
        <v>0.40061162079510698</v>
      </c>
      <c r="G30" s="179">
        <f t="shared" si="2"/>
        <v>5.1234220183486228</v>
      </c>
      <c r="H30" s="224">
        <f t="shared" si="3"/>
        <v>0.81324159021406717</v>
      </c>
      <c r="I30" s="455">
        <f t="shared" si="4"/>
        <v>32.700000000000003</v>
      </c>
      <c r="J30" s="179">
        <f t="shared" si="5"/>
        <v>0.17829880043620505</v>
      </c>
      <c r="K30" s="179">
        <f t="shared" si="6"/>
        <v>0.50032826653016715</v>
      </c>
      <c r="L30" s="179">
        <f t="shared" si="7"/>
        <v>0.74858274992299823</v>
      </c>
      <c r="M30" s="455">
        <f t="shared" si="14"/>
        <v>350</v>
      </c>
      <c r="N30" s="204">
        <f t="shared" si="8"/>
        <v>350</v>
      </c>
      <c r="O30" s="224">
        <f t="shared" si="9"/>
        <v>0.40789546844592717</v>
      </c>
      <c r="P30" s="180">
        <f t="shared" si="10"/>
        <v>1.7125382262996942</v>
      </c>
      <c r="Q30" s="180">
        <f t="shared" si="11"/>
        <v>0.24448780371682485</v>
      </c>
      <c r="R30" s="180">
        <f t="shared" si="12"/>
        <v>1.217557251908397</v>
      </c>
    </row>
    <row r="31" spans="3:18" x14ac:dyDescent="0.25">
      <c r="C31" s="177">
        <v>25</v>
      </c>
      <c r="D31" s="5">
        <f t="shared" si="13"/>
        <v>20</v>
      </c>
      <c r="E31" s="455">
        <f t="shared" si="0"/>
        <v>13.1</v>
      </c>
      <c r="F31" s="224">
        <f t="shared" si="1"/>
        <v>0.39577039274924469</v>
      </c>
      <c r="G31" s="179">
        <f t="shared" si="2"/>
        <v>5.164803625377643</v>
      </c>
      <c r="H31" s="224">
        <f t="shared" si="3"/>
        <v>0.81981009926629256</v>
      </c>
      <c r="I31" s="455">
        <f t="shared" si="4"/>
        <v>33.1</v>
      </c>
      <c r="J31" s="179">
        <f t="shared" si="5"/>
        <v>0.17687022900763358</v>
      </c>
      <c r="K31" s="179">
        <f t="shared" si="6"/>
        <v>0.48639312977099236</v>
      </c>
      <c r="L31" s="179">
        <f t="shared" si="7"/>
        <v>0.74258493094807987</v>
      </c>
      <c r="M31" s="455">
        <f t="shared" si="14"/>
        <v>350</v>
      </c>
      <c r="N31" s="204">
        <f t="shared" si="8"/>
        <v>350</v>
      </c>
      <c r="O31" s="224">
        <f t="shared" si="9"/>
        <v>0.41119001844077369</v>
      </c>
      <c r="P31" s="180">
        <f t="shared" si="10"/>
        <v>1.7263703064307294</v>
      </c>
      <c r="Q31" s="180">
        <f t="shared" si="11"/>
        <v>0.24845318334789954</v>
      </c>
      <c r="R31" s="180">
        <f t="shared" si="12"/>
        <v>1.217557251908397</v>
      </c>
    </row>
    <row r="32" spans="3:18" x14ac:dyDescent="0.25">
      <c r="C32" s="177">
        <v>26</v>
      </c>
      <c r="D32" s="5">
        <f t="shared" si="13"/>
        <v>20.399999999999999</v>
      </c>
      <c r="E32" s="455">
        <f t="shared" si="0"/>
        <v>13.1</v>
      </c>
      <c r="F32" s="224">
        <f t="shared" si="1"/>
        <v>0.39104477611940297</v>
      </c>
      <c r="G32" s="179">
        <f t="shared" si="2"/>
        <v>5.2051970149253721</v>
      </c>
      <c r="H32" s="224">
        <f t="shared" si="3"/>
        <v>0.82622174840085272</v>
      </c>
      <c r="I32" s="455">
        <f t="shared" si="4"/>
        <v>33.5</v>
      </c>
      <c r="J32" s="179">
        <f t="shared" si="5"/>
        <v>0.17549767998802576</v>
      </c>
      <c r="K32" s="179">
        <f t="shared" si="6"/>
        <v>0.47315550977163812</v>
      </c>
      <c r="L32" s="179">
        <f t="shared" si="7"/>
        <v>0.73682232056041352</v>
      </c>
      <c r="M32" s="455">
        <f t="shared" si="14"/>
        <v>350</v>
      </c>
      <c r="N32" s="204">
        <f t="shared" si="8"/>
        <v>350</v>
      </c>
      <c r="O32" s="224">
        <f t="shared" si="9"/>
        <v>0.41440589261484784</v>
      </c>
      <c r="P32" s="180">
        <f t="shared" si="10"/>
        <v>1.7398720682302773</v>
      </c>
      <c r="Q32" s="180">
        <f t="shared" si="11"/>
        <v>0.25235463311471334</v>
      </c>
      <c r="R32" s="180">
        <f t="shared" si="12"/>
        <v>1.217557251908397</v>
      </c>
    </row>
    <row r="33" spans="3:18" x14ac:dyDescent="0.25">
      <c r="C33" s="177">
        <v>27</v>
      </c>
      <c r="D33" s="5">
        <f t="shared" si="13"/>
        <v>20.8</v>
      </c>
      <c r="E33" s="455">
        <f t="shared" si="0"/>
        <v>13.1</v>
      </c>
      <c r="F33" s="224">
        <f t="shared" si="1"/>
        <v>0.3864306784660767</v>
      </c>
      <c r="G33" s="179">
        <f t="shared" si="2"/>
        <v>5.244637168141594</v>
      </c>
      <c r="H33" s="224">
        <f t="shared" si="3"/>
        <v>0.83248209018120545</v>
      </c>
      <c r="I33" s="455">
        <f t="shared" si="4"/>
        <v>33.9</v>
      </c>
      <c r="J33" s="179">
        <f t="shared" si="5"/>
        <v>0.17417792131532586</v>
      </c>
      <c r="K33" s="179">
        <f t="shared" si="6"/>
        <v>0.46056661886264044</v>
      </c>
      <c r="L33" s="179">
        <f t="shared" si="7"/>
        <v>0.73128134903381092</v>
      </c>
      <c r="M33" s="455">
        <f t="shared" si="14"/>
        <v>350</v>
      </c>
      <c r="N33" s="204">
        <f t="shared" si="8"/>
        <v>350</v>
      </c>
      <c r="O33" s="224">
        <f t="shared" si="9"/>
        <v>0.41754587595295561</v>
      </c>
      <c r="P33" s="180">
        <f t="shared" si="10"/>
        <v>1.7530552043826382</v>
      </c>
      <c r="Q33" s="180">
        <f t="shared" si="11"/>
        <v>0.25619333981774267</v>
      </c>
      <c r="R33" s="180">
        <f t="shared" si="12"/>
        <v>1.217557251908397</v>
      </c>
    </row>
    <row r="34" spans="3:18" x14ac:dyDescent="0.25">
      <c r="C34" s="177">
        <v>28</v>
      </c>
      <c r="D34" s="5">
        <f t="shared" si="13"/>
        <v>21.200000000000003</v>
      </c>
      <c r="E34" s="455">
        <f t="shared" si="0"/>
        <v>13.1</v>
      </c>
      <c r="F34" s="224">
        <f t="shared" si="1"/>
        <v>0.38192419825072882</v>
      </c>
      <c r="G34" s="179">
        <f t="shared" si="2"/>
        <v>5.2831574344023329</v>
      </c>
      <c r="H34" s="224">
        <f t="shared" si="3"/>
        <v>0.83859641815910047</v>
      </c>
      <c r="I34" s="455">
        <f t="shared" si="4"/>
        <v>34.300000000000004</v>
      </c>
      <c r="J34" s="179">
        <f t="shared" si="5"/>
        <v>0.17290796485669019</v>
      </c>
      <c r="K34" s="179">
        <f t="shared" si="6"/>
        <v>0.44858198429801699</v>
      </c>
      <c r="L34" s="179">
        <f t="shared" si="7"/>
        <v>0.72594947077236349</v>
      </c>
      <c r="M34" s="455">
        <f t="shared" si="14"/>
        <v>350</v>
      </c>
      <c r="N34" s="204">
        <f t="shared" si="8"/>
        <v>350</v>
      </c>
      <c r="O34" s="224">
        <f t="shared" si="9"/>
        <v>0.42061262352807538</v>
      </c>
      <c r="P34" s="180">
        <f t="shared" si="10"/>
        <v>1.7659308621407745</v>
      </c>
      <c r="Q34" s="180">
        <f t="shared" si="11"/>
        <v>0.25997048451297949</v>
      </c>
      <c r="R34" s="180">
        <f t="shared" si="12"/>
        <v>1.217557251908397</v>
      </c>
    </row>
    <row r="35" spans="3:18" x14ac:dyDescent="0.25">
      <c r="C35" s="177">
        <v>29</v>
      </c>
      <c r="D35" s="5">
        <f t="shared" si="13"/>
        <v>21.6</v>
      </c>
      <c r="E35" s="455">
        <f t="shared" si="0"/>
        <v>13.1</v>
      </c>
      <c r="F35" s="224">
        <f t="shared" si="1"/>
        <v>0.37752161383285299</v>
      </c>
      <c r="G35" s="179">
        <f t="shared" si="2"/>
        <v>5.3207896253602307</v>
      </c>
      <c r="H35" s="224">
        <f t="shared" si="3"/>
        <v>0.84456978180321129</v>
      </c>
      <c r="I35" s="455">
        <f t="shared" si="4"/>
        <v>34.700000000000003</v>
      </c>
      <c r="J35" s="179">
        <f t="shared" si="5"/>
        <v>0.17168504382244842</v>
      </c>
      <c r="K35" s="179">
        <f t="shared" si="6"/>
        <v>0.43716099121456775</v>
      </c>
      <c r="L35" s="179">
        <f t="shared" si="7"/>
        <v>0.72081506948356222</v>
      </c>
      <c r="M35" s="455">
        <f t="shared" si="14"/>
        <v>350</v>
      </c>
      <c r="N35" s="204">
        <f t="shared" si="8"/>
        <v>350</v>
      </c>
      <c r="O35" s="224">
        <f t="shared" si="9"/>
        <v>0.42360866798907143</v>
      </c>
      <c r="P35" s="180">
        <f t="shared" si="10"/>
        <v>1.7785096747632771</v>
      </c>
      <c r="Q35" s="180">
        <f t="shared" si="11"/>
        <v>0.26368724001625199</v>
      </c>
      <c r="R35" s="180">
        <f t="shared" si="12"/>
        <v>1.217557251908397</v>
      </c>
    </row>
    <row r="36" spans="3:18" x14ac:dyDescent="0.25">
      <c r="C36" s="177">
        <v>30</v>
      </c>
      <c r="D36" s="5">
        <f t="shared" si="13"/>
        <v>22</v>
      </c>
      <c r="E36" s="455">
        <f t="shared" si="0"/>
        <v>13.1</v>
      </c>
      <c r="F36" s="224">
        <f t="shared" si="1"/>
        <v>0.37321937321937321</v>
      </c>
      <c r="G36" s="179">
        <f t="shared" si="2"/>
        <v>5.3575641025641021</v>
      </c>
      <c r="H36" s="224">
        <f t="shared" si="3"/>
        <v>0.85040700040700035</v>
      </c>
      <c r="I36" s="455">
        <f t="shared" si="4"/>
        <v>35.1</v>
      </c>
      <c r="J36" s="179">
        <f t="shared" si="5"/>
        <v>0.17050659264399723</v>
      </c>
      <c r="K36" s="179">
        <f t="shared" si="6"/>
        <v>0.42626648160999314</v>
      </c>
      <c r="L36" s="179">
        <f t="shared" si="7"/>
        <v>0.71586737369617159</v>
      </c>
      <c r="M36" s="455">
        <f t="shared" si="14"/>
        <v>350</v>
      </c>
      <c r="N36" s="204">
        <f t="shared" si="8"/>
        <v>350</v>
      </c>
      <c r="O36" s="224">
        <f t="shared" si="9"/>
        <v>0.42653642653642654</v>
      </c>
      <c r="P36" s="180">
        <f t="shared" si="10"/>
        <v>1.790801790801791</v>
      </c>
      <c r="Q36" s="180">
        <f t="shared" si="11"/>
        <v>0.26734476876927027</v>
      </c>
      <c r="R36" s="180">
        <f t="shared" si="12"/>
        <v>1.217557251908397</v>
      </c>
    </row>
    <row r="37" spans="3:18" x14ac:dyDescent="0.25">
      <c r="C37" s="177">
        <v>31</v>
      </c>
      <c r="D37" s="5">
        <f t="shared" si="13"/>
        <v>22.4</v>
      </c>
      <c r="E37" s="455">
        <f t="shared" si="0"/>
        <v>13.1</v>
      </c>
      <c r="F37" s="224">
        <f t="shared" si="1"/>
        <v>0.36901408450704226</v>
      </c>
      <c r="G37" s="179">
        <f t="shared" si="2"/>
        <v>5.3935098591549293</v>
      </c>
      <c r="H37" s="224">
        <f t="shared" si="3"/>
        <v>0.85611267605633801</v>
      </c>
      <c r="I37" s="455">
        <f t="shared" si="4"/>
        <v>35.5</v>
      </c>
      <c r="J37" s="179">
        <f t="shared" si="5"/>
        <v>0.16937022900763357</v>
      </c>
      <c r="K37" s="179">
        <f t="shared" si="6"/>
        <v>0.41586440158124316</v>
      </c>
      <c r="L37" s="179">
        <f t="shared" si="7"/>
        <v>0.71109638132975928</v>
      </c>
      <c r="M37" s="455">
        <f t="shared" si="14"/>
        <v>350</v>
      </c>
      <c r="N37" s="204">
        <f t="shared" si="8"/>
        <v>350</v>
      </c>
      <c r="O37" s="224">
        <f t="shared" si="9"/>
        <v>0.42939820742637647</v>
      </c>
      <c r="P37" s="180">
        <f t="shared" si="10"/>
        <v>1.8028169014084507</v>
      </c>
      <c r="Q37" s="180">
        <f t="shared" si="11"/>
        <v>0.27094422102396709</v>
      </c>
      <c r="R37" s="180">
        <f t="shared" si="12"/>
        <v>1.217557251908397</v>
      </c>
    </row>
    <row r="38" spans="3:18" x14ac:dyDescent="0.25">
      <c r="C38" s="177">
        <v>32</v>
      </c>
      <c r="D38" s="5">
        <f t="shared" si="13"/>
        <v>22.8</v>
      </c>
      <c r="E38" s="455">
        <f t="shared" ref="E38:E69" si="15">(Vout+Vfwd1)*Nps</f>
        <v>13.1</v>
      </c>
      <c r="F38" s="224">
        <f t="shared" ref="F38:F69" si="16">(Vout+Vfwd1)*Nps/((Vout+Vfwd1)*Nps+D38)</f>
        <v>0.36490250696378829</v>
      </c>
      <c r="G38" s="179">
        <f t="shared" ref="G38:G69" si="17">F38*D38*Isw_max*0.5*Efficiency</f>
        <v>5.4286545961002783</v>
      </c>
      <c r="H38" s="224">
        <f t="shared" ref="H38:H69" si="18">G38/Vout</f>
        <v>0.86169120573020297</v>
      </c>
      <c r="I38" s="455">
        <f t="shared" ref="I38:I69" si="19">(Vout+Vfwd1)*Nps+D38</f>
        <v>35.9</v>
      </c>
      <c r="J38" s="179">
        <f t="shared" ref="J38:J69" si="20">MIN(2*Vout*Iout/(Efficiency*D38*F38), 1.35)</f>
        <v>0.16827373777956342</v>
      </c>
      <c r="K38" s="179">
        <f t="shared" ref="K38:K69" si="21">L*J38/D38*1000000</f>
        <v>0.40592349025771873</v>
      </c>
      <c r="L38" s="179">
        <f t="shared" ref="L38:L69" si="22">L*J38/((Vout+Vfwd1)*Nps)*1000000</f>
        <v>0.70649279220427386</v>
      </c>
      <c r="M38" s="455">
        <f t="shared" si="14"/>
        <v>350</v>
      </c>
      <c r="N38" s="204">
        <f t="shared" ref="N38:N69" si="23">IF(1/((350000*L)*(1/D38+1/E38))&gt;Isw_min, 350, 0.001/((Isw_min*L)*(1/D38+1/E38)))</f>
        <v>350</v>
      </c>
      <c r="O38" s="224">
        <f t="shared" ref="O38:O69" si="24">1/((N38*1000*L)*(1/D38+1/E38))</f>
        <v>0.43219621604022718</v>
      </c>
      <c r="P38" s="180">
        <f t="shared" ref="P38:P69" si="25">L*O38/E38*1000000</f>
        <v>1.8145642658177479</v>
      </c>
      <c r="Q38" s="180">
        <f t="shared" ref="Q38:Q69" si="26">0.5*P38*O38*Nps*N38/1000</f>
        <v>0.27448673330688522</v>
      </c>
      <c r="R38" s="180">
        <f t="shared" ref="R38:R69" si="27">L*Isw_min/E38*1000000</f>
        <v>1.217557251908397</v>
      </c>
    </row>
    <row r="39" spans="3:18" x14ac:dyDescent="0.25">
      <c r="C39" s="177">
        <v>33</v>
      </c>
      <c r="D39" s="5">
        <f t="shared" ref="D39:D70" si="28">C39/100*(VIN_max-VIN_min)+VIN_min</f>
        <v>23.200000000000003</v>
      </c>
      <c r="E39" s="455">
        <f t="shared" si="15"/>
        <v>13.1</v>
      </c>
      <c r="F39" s="224">
        <f t="shared" si="16"/>
        <v>0.36088154269972444</v>
      </c>
      <c r="G39" s="179">
        <f t="shared" si="17"/>
        <v>5.4630247933884295</v>
      </c>
      <c r="H39" s="224">
        <f t="shared" si="18"/>
        <v>0.86714679260133809</v>
      </c>
      <c r="I39" s="455">
        <f t="shared" si="19"/>
        <v>36.300000000000004</v>
      </c>
      <c r="J39" s="179">
        <f t="shared" si="20"/>
        <v>0.16721505659384051</v>
      </c>
      <c r="K39" s="179">
        <f t="shared" si="21"/>
        <v>0.39641500485608733</v>
      </c>
      <c r="L39" s="179">
        <f t="shared" si="22"/>
        <v>0.70204794753139155</v>
      </c>
      <c r="M39" s="455">
        <f t="shared" si="14"/>
        <v>350</v>
      </c>
      <c r="N39" s="204">
        <f t="shared" si="23"/>
        <v>350</v>
      </c>
      <c r="O39" s="224">
        <f t="shared" si="24"/>
        <v>0.43493256055239526</v>
      </c>
      <c r="P39" s="180">
        <f t="shared" si="25"/>
        <v>1.8260527351436442</v>
      </c>
      <c r="Q39" s="180">
        <f t="shared" si="26"/>
        <v>0.27797342712990553</v>
      </c>
      <c r="R39" s="180">
        <f t="shared" si="27"/>
        <v>1.217557251908397</v>
      </c>
    </row>
    <row r="40" spans="3:18" x14ac:dyDescent="0.25">
      <c r="C40" s="177">
        <v>34</v>
      </c>
      <c r="D40" s="5">
        <f t="shared" si="28"/>
        <v>23.6</v>
      </c>
      <c r="E40" s="455">
        <f t="shared" si="15"/>
        <v>13.1</v>
      </c>
      <c r="F40" s="224">
        <f t="shared" si="16"/>
        <v>0.35694822888283373</v>
      </c>
      <c r="G40" s="179">
        <f t="shared" si="17"/>
        <v>5.4966457765667567</v>
      </c>
      <c r="H40" s="224">
        <f t="shared" si="18"/>
        <v>0.87248345659789794</v>
      </c>
      <c r="I40" s="455">
        <f t="shared" si="19"/>
        <v>36.700000000000003</v>
      </c>
      <c r="J40" s="179">
        <f t="shared" si="20"/>
        <v>0.16619226290593869</v>
      </c>
      <c r="K40" s="179">
        <f t="shared" si="21"/>
        <v>0.38731247711129785</v>
      </c>
      <c r="L40" s="179">
        <f t="shared" si="22"/>
        <v>0.69775377555928464</v>
      </c>
      <c r="M40" s="455">
        <f t="shared" si="14"/>
        <v>350</v>
      </c>
      <c r="N40" s="204">
        <f t="shared" si="23"/>
        <v>350</v>
      </c>
      <c r="O40" s="224">
        <f t="shared" si="24"/>
        <v>0.43760925722778582</v>
      </c>
      <c r="P40" s="180">
        <f t="shared" si="25"/>
        <v>1.837290774620475</v>
      </c>
      <c r="Q40" s="180">
        <f t="shared" si="26"/>
        <v>0.28140540791759527</v>
      </c>
      <c r="R40" s="180">
        <f t="shared" si="27"/>
        <v>1.217557251908397</v>
      </c>
    </row>
    <row r="41" spans="3:18" x14ac:dyDescent="0.25">
      <c r="C41" s="177">
        <v>35</v>
      </c>
      <c r="D41" s="5">
        <f t="shared" si="28"/>
        <v>24</v>
      </c>
      <c r="E41" s="455">
        <f t="shared" si="15"/>
        <v>13.1</v>
      </c>
      <c r="F41" s="224">
        <f t="shared" si="16"/>
        <v>0.35309973045822102</v>
      </c>
      <c r="G41" s="179">
        <f t="shared" si="17"/>
        <v>5.5295417789757408</v>
      </c>
      <c r="H41" s="224">
        <f t="shared" si="18"/>
        <v>0.87770504428186369</v>
      </c>
      <c r="I41" s="455">
        <f t="shared" si="19"/>
        <v>37.1</v>
      </c>
      <c r="J41" s="179">
        <f t="shared" si="20"/>
        <v>0.16520356234096692</v>
      </c>
      <c r="K41" s="179">
        <f t="shared" si="21"/>
        <v>0.37859149703138256</v>
      </c>
      <c r="L41" s="179">
        <f t="shared" si="22"/>
        <v>0.69360274265291466</v>
      </c>
      <c r="M41" s="455">
        <f t="shared" si="14"/>
        <v>350</v>
      </c>
      <c r="N41" s="204">
        <f t="shared" si="23"/>
        <v>350</v>
      </c>
      <c r="O41" s="224">
        <f t="shared" si="24"/>
        <v>0.44022823537648331</v>
      </c>
      <c r="P41" s="180">
        <f t="shared" si="25"/>
        <v>1.8482864844050828</v>
      </c>
      <c r="Q41" s="180">
        <f t="shared" si="26"/>
        <v>0.28478376412494877</v>
      </c>
      <c r="R41" s="180">
        <f t="shared" si="27"/>
        <v>1.217557251908397</v>
      </c>
    </row>
    <row r="42" spans="3:18" x14ac:dyDescent="0.25">
      <c r="C42" s="177">
        <v>36</v>
      </c>
      <c r="D42" s="5">
        <f t="shared" si="28"/>
        <v>24.4</v>
      </c>
      <c r="E42" s="455">
        <f t="shared" si="15"/>
        <v>13.1</v>
      </c>
      <c r="F42" s="224">
        <f t="shared" si="16"/>
        <v>0.34933333333333333</v>
      </c>
      <c r="G42" s="179">
        <f t="shared" si="17"/>
        <v>5.5617359999999998</v>
      </c>
      <c r="H42" s="224">
        <f t="shared" si="18"/>
        <v>0.8828152380952381</v>
      </c>
      <c r="I42" s="455">
        <f t="shared" si="19"/>
        <v>37.5</v>
      </c>
      <c r="J42" s="179">
        <f t="shared" si="20"/>
        <v>0.16424727818796145</v>
      </c>
      <c r="K42" s="179">
        <f t="shared" si="21"/>
        <v>0.37022952050565089</v>
      </c>
      <c r="L42" s="179">
        <f t="shared" si="22"/>
        <v>0.68958780918609774</v>
      </c>
      <c r="M42" s="455">
        <f t="shared" si="14"/>
        <v>350</v>
      </c>
      <c r="N42" s="204">
        <f t="shared" si="23"/>
        <v>350</v>
      </c>
      <c r="O42" s="224">
        <f t="shared" si="24"/>
        <v>0.44279134199134196</v>
      </c>
      <c r="P42" s="180">
        <f t="shared" si="25"/>
        <v>1.8590476190476188</v>
      </c>
      <c r="Q42" s="180">
        <f t="shared" si="26"/>
        <v>0.28810956652236647</v>
      </c>
      <c r="R42" s="180">
        <f t="shared" si="27"/>
        <v>1.217557251908397</v>
      </c>
    </row>
    <row r="43" spans="3:18" x14ac:dyDescent="0.25">
      <c r="C43" s="177">
        <v>37</v>
      </c>
      <c r="D43" s="5">
        <f t="shared" si="28"/>
        <v>24.8</v>
      </c>
      <c r="E43" s="455">
        <f t="shared" si="15"/>
        <v>13.1</v>
      </c>
      <c r="F43" s="224">
        <f t="shared" si="16"/>
        <v>0.34564643799472294</v>
      </c>
      <c r="G43" s="179">
        <f t="shared" si="17"/>
        <v>5.5932506596306073</v>
      </c>
      <c r="H43" s="224">
        <f t="shared" si="18"/>
        <v>0.88781756502073139</v>
      </c>
      <c r="I43" s="455">
        <f t="shared" si="19"/>
        <v>37.9</v>
      </c>
      <c r="J43" s="179">
        <f t="shared" si="20"/>
        <v>0.16332184191085941</v>
      </c>
      <c r="K43" s="179">
        <f t="shared" si="21"/>
        <v>0.36220569778618017</v>
      </c>
      <c r="L43" s="179">
        <f t="shared" si="22"/>
        <v>0.68570238970208164</v>
      </c>
      <c r="M43" s="455">
        <f t="shared" si="14"/>
        <v>350</v>
      </c>
      <c r="N43" s="204">
        <f t="shared" si="23"/>
        <v>350</v>
      </c>
      <c r="O43" s="224">
        <f t="shared" si="24"/>
        <v>0.44530034609190278</v>
      </c>
      <c r="P43" s="180">
        <f t="shared" si="25"/>
        <v>1.869581605729363</v>
      </c>
      <c r="Q43" s="180">
        <f t="shared" si="26"/>
        <v>0.29138386762741925</v>
      </c>
      <c r="R43" s="180">
        <f t="shared" si="27"/>
        <v>1.217557251908397</v>
      </c>
    </row>
    <row r="44" spans="3:18" x14ac:dyDescent="0.25">
      <c r="C44" s="177">
        <v>38</v>
      </c>
      <c r="D44" s="5">
        <f t="shared" si="28"/>
        <v>25.2</v>
      </c>
      <c r="E44" s="455">
        <f t="shared" si="15"/>
        <v>13.1</v>
      </c>
      <c r="F44" s="224">
        <f t="shared" si="16"/>
        <v>0.34203655352480422</v>
      </c>
      <c r="G44" s="179">
        <f t="shared" si="17"/>
        <v>5.6241070496083552</v>
      </c>
      <c r="H44" s="224">
        <f t="shared" si="18"/>
        <v>0.89271540469973898</v>
      </c>
      <c r="I44" s="455">
        <f t="shared" si="19"/>
        <v>38.299999999999997</v>
      </c>
      <c r="J44" s="179">
        <f t="shared" si="20"/>
        <v>0.16242578456318912</v>
      </c>
      <c r="K44" s="179">
        <f t="shared" si="21"/>
        <v>0.35450072027680168</v>
      </c>
      <c r="L44" s="179">
        <f t="shared" si="22"/>
        <v>0.68194031686835133</v>
      </c>
      <c r="M44" s="455">
        <f t="shared" si="14"/>
        <v>350</v>
      </c>
      <c r="N44" s="204">
        <f t="shared" si="23"/>
        <v>350</v>
      </c>
      <c r="O44" s="224">
        <f t="shared" si="24"/>
        <v>0.44775694279610728</v>
      </c>
      <c r="P44" s="180">
        <f t="shared" si="25"/>
        <v>1.8798955613577024</v>
      </c>
      <c r="Q44" s="180">
        <f t="shared" si="26"/>
        <v>0.29460770126532382</v>
      </c>
      <c r="R44" s="180">
        <f t="shared" si="27"/>
        <v>1.217557251908397</v>
      </c>
    </row>
    <row r="45" spans="3:18" x14ac:dyDescent="0.25">
      <c r="C45" s="177">
        <v>39</v>
      </c>
      <c r="D45" s="5">
        <f t="shared" si="28"/>
        <v>25.6</v>
      </c>
      <c r="E45" s="455">
        <f t="shared" si="15"/>
        <v>13.1</v>
      </c>
      <c r="F45" s="224">
        <f t="shared" si="16"/>
        <v>0.33850129198966405</v>
      </c>
      <c r="G45" s="179">
        <f t="shared" si="17"/>
        <v>5.6543255813953488</v>
      </c>
      <c r="H45" s="224">
        <f t="shared" si="18"/>
        <v>0.89751199704688078</v>
      </c>
      <c r="I45" s="455">
        <f t="shared" si="19"/>
        <v>38.700000000000003</v>
      </c>
      <c r="J45" s="179">
        <f t="shared" si="20"/>
        <v>0.1615577290076336</v>
      </c>
      <c r="K45" s="179">
        <f t="shared" si="21"/>
        <v>0.34709668341483785</v>
      </c>
      <c r="L45" s="179">
        <f t="shared" si="22"/>
        <v>0.67829580881067553</v>
      </c>
      <c r="M45" s="455">
        <f t="shared" si="14"/>
        <v>350</v>
      </c>
      <c r="N45" s="204">
        <f t="shared" si="23"/>
        <v>350</v>
      </c>
      <c r="O45" s="224">
        <f t="shared" si="24"/>
        <v>0.45016275713950132</v>
      </c>
      <c r="P45" s="180">
        <f t="shared" si="25"/>
        <v>1.8899963086009599</v>
      </c>
      <c r="Q45" s="180">
        <f t="shared" si="26"/>
        <v>0.29778208224215075</v>
      </c>
      <c r="R45" s="180">
        <f t="shared" si="27"/>
        <v>1.217557251908397</v>
      </c>
    </row>
    <row r="46" spans="3:18" x14ac:dyDescent="0.25">
      <c r="C46" s="177">
        <v>40</v>
      </c>
      <c r="D46" s="5">
        <f t="shared" si="28"/>
        <v>26</v>
      </c>
      <c r="E46" s="455">
        <f t="shared" si="15"/>
        <v>13.1</v>
      </c>
      <c r="F46" s="224">
        <f t="shared" si="16"/>
        <v>0.33503836317135549</v>
      </c>
      <c r="G46" s="179">
        <f t="shared" si="17"/>
        <v>5.6839258312020462</v>
      </c>
      <c r="H46" s="224">
        <f t="shared" si="18"/>
        <v>0.90221044939715023</v>
      </c>
      <c r="I46" s="455">
        <f t="shared" si="19"/>
        <v>39.1</v>
      </c>
      <c r="J46" s="179">
        <f t="shared" si="20"/>
        <v>0.16071638285378742</v>
      </c>
      <c r="K46" s="179">
        <f t="shared" si="21"/>
        <v>0.33997696372916569</v>
      </c>
      <c r="L46" s="179">
        <f t="shared" si="22"/>
        <v>0.67476343946246631</v>
      </c>
      <c r="M46" s="455">
        <f t="shared" si="14"/>
        <v>350</v>
      </c>
      <c r="N46" s="204">
        <f t="shared" si="23"/>
        <v>350</v>
      </c>
      <c r="O46" s="224">
        <f t="shared" si="24"/>
        <v>0.45251934766001262</v>
      </c>
      <c r="P46" s="180">
        <f t="shared" si="25"/>
        <v>1.8998903909389844</v>
      </c>
      <c r="Q46" s="180">
        <f t="shared" si="26"/>
        <v>0.30090800611663249</v>
      </c>
      <c r="R46" s="180">
        <f t="shared" si="27"/>
        <v>1.217557251908397</v>
      </c>
    </row>
    <row r="47" spans="3:18" x14ac:dyDescent="0.25">
      <c r="C47" s="177">
        <v>41</v>
      </c>
      <c r="D47" s="5">
        <f t="shared" si="28"/>
        <v>26.4</v>
      </c>
      <c r="E47" s="455">
        <f t="shared" si="15"/>
        <v>13.1</v>
      </c>
      <c r="F47" s="224">
        <f t="shared" si="16"/>
        <v>0.33164556962025316</v>
      </c>
      <c r="G47" s="179">
        <f t="shared" si="17"/>
        <v>5.71292658227848</v>
      </c>
      <c r="H47" s="224">
        <f t="shared" si="18"/>
        <v>0.90681374321880637</v>
      </c>
      <c r="I47" s="455">
        <f t="shared" si="19"/>
        <v>39.5</v>
      </c>
      <c r="J47" s="179">
        <f t="shared" si="20"/>
        <v>0.15990053203793664</v>
      </c>
      <c r="K47" s="179">
        <f t="shared" si="21"/>
        <v>0.333126108412368</v>
      </c>
      <c r="L47" s="179">
        <f t="shared" si="22"/>
        <v>0.67133811160965773</v>
      </c>
      <c r="M47" s="455">
        <f t="shared" si="14"/>
        <v>350</v>
      </c>
      <c r="N47" s="204">
        <f t="shared" si="23"/>
        <v>350</v>
      </c>
      <c r="O47" s="224">
        <f t="shared" si="24"/>
        <v>0.45482820976491856</v>
      </c>
      <c r="P47" s="180">
        <f t="shared" si="25"/>
        <v>1.9095840867992764</v>
      </c>
      <c r="Q47" s="180">
        <f t="shared" si="26"/>
        <v>0.30398644905807215</v>
      </c>
      <c r="R47" s="180">
        <f t="shared" si="27"/>
        <v>1.217557251908397</v>
      </c>
    </row>
    <row r="48" spans="3:18" x14ac:dyDescent="0.25">
      <c r="C48" s="177">
        <v>42</v>
      </c>
      <c r="D48" s="5">
        <f t="shared" si="28"/>
        <v>26.8</v>
      </c>
      <c r="E48" s="455">
        <f t="shared" si="15"/>
        <v>13.1</v>
      </c>
      <c r="F48" s="224">
        <f t="shared" si="16"/>
        <v>0.32832080200501251</v>
      </c>
      <c r="G48" s="179">
        <f t="shared" si="17"/>
        <v>5.7413458646616533</v>
      </c>
      <c r="H48" s="224">
        <f t="shared" si="18"/>
        <v>0.91132474042248468</v>
      </c>
      <c r="I48" s="455">
        <f t="shared" si="19"/>
        <v>39.9</v>
      </c>
      <c r="J48" s="179">
        <f t="shared" si="20"/>
        <v>0.15910903497778284</v>
      </c>
      <c r="K48" s="179">
        <f t="shared" si="21"/>
        <v>0.32652973596186774</v>
      </c>
      <c r="L48" s="179">
        <f t="shared" si="22"/>
        <v>0.66801503234946991</v>
      </c>
      <c r="M48" s="455">
        <f t="shared" si="14"/>
        <v>350</v>
      </c>
      <c r="N48" s="204">
        <f t="shared" si="23"/>
        <v>350</v>
      </c>
      <c r="O48" s="224">
        <f t="shared" si="24"/>
        <v>0.45709077889529021</v>
      </c>
      <c r="P48" s="180">
        <f t="shared" si="25"/>
        <v>1.9190834228428217</v>
      </c>
      <c r="Q48" s="180">
        <f t="shared" si="26"/>
        <v>0.30701836777929276</v>
      </c>
      <c r="R48" s="180">
        <f t="shared" si="27"/>
        <v>1.217557251908397</v>
      </c>
    </row>
    <row r="49" spans="3:18" x14ac:dyDescent="0.25">
      <c r="C49" s="177">
        <v>43</v>
      </c>
      <c r="D49" s="5">
        <f t="shared" si="28"/>
        <v>27.2</v>
      </c>
      <c r="E49" s="455">
        <f t="shared" si="15"/>
        <v>13.1</v>
      </c>
      <c r="F49" s="224">
        <f t="shared" si="16"/>
        <v>0.32506203473945411</v>
      </c>
      <c r="G49" s="179">
        <f t="shared" si="17"/>
        <v>5.769200992555831</v>
      </c>
      <c r="H49" s="224">
        <f t="shared" si="18"/>
        <v>0.91574618929457641</v>
      </c>
      <c r="I49" s="455">
        <f t="shared" si="19"/>
        <v>40.299999999999997</v>
      </c>
      <c r="J49" s="179">
        <f t="shared" si="20"/>
        <v>0.1583408172429277</v>
      </c>
      <c r="K49" s="179">
        <f t="shared" si="21"/>
        <v>0.32017444663092004</v>
      </c>
      <c r="L49" s="179">
        <f t="shared" si="22"/>
        <v>0.66478969071458205</v>
      </c>
      <c r="M49" s="455">
        <f t="shared" si="14"/>
        <v>350</v>
      </c>
      <c r="N49" s="204">
        <f t="shared" si="23"/>
        <v>350</v>
      </c>
      <c r="O49" s="224">
        <f t="shared" si="24"/>
        <v>0.45930843350198192</v>
      </c>
      <c r="P49" s="180">
        <f t="shared" si="25"/>
        <v>1.9283941864587031</v>
      </c>
      <c r="Q49" s="180">
        <f t="shared" si="26"/>
        <v>0.3100046995348365</v>
      </c>
      <c r="R49" s="180">
        <f t="shared" si="27"/>
        <v>1.217557251908397</v>
      </c>
    </row>
    <row r="50" spans="3:18" x14ac:dyDescent="0.25">
      <c r="C50" s="177">
        <v>44</v>
      </c>
      <c r="D50" s="5">
        <f t="shared" si="28"/>
        <v>27.6</v>
      </c>
      <c r="E50" s="455">
        <f t="shared" si="15"/>
        <v>13.1</v>
      </c>
      <c r="F50" s="224">
        <f t="shared" si="16"/>
        <v>0.32186732186732181</v>
      </c>
      <c r="G50" s="179">
        <f t="shared" si="17"/>
        <v>5.7965085995085994</v>
      </c>
      <c r="H50" s="224">
        <f t="shared" si="18"/>
        <v>0.9200807300807301</v>
      </c>
      <c r="I50" s="455">
        <f t="shared" si="19"/>
        <v>40.700000000000003</v>
      </c>
      <c r="J50" s="179">
        <f t="shared" si="20"/>
        <v>0.15759486668879302</v>
      </c>
      <c r="K50" s="179">
        <f t="shared" si="21"/>
        <v>0.31404774158998611</v>
      </c>
      <c r="L50" s="179">
        <f t="shared" si="22"/>
        <v>0.66165783724302418</v>
      </c>
      <c r="M50" s="455">
        <f t="shared" si="14"/>
        <v>350</v>
      </c>
      <c r="N50" s="204">
        <f t="shared" si="23"/>
        <v>350</v>
      </c>
      <c r="O50" s="224">
        <f t="shared" si="24"/>
        <v>0.46148249784613415</v>
      </c>
      <c r="P50" s="180">
        <f t="shared" si="25"/>
        <v>1.9375219375219375</v>
      </c>
      <c r="Q50" s="180">
        <f t="shared" si="26"/>
        <v>0.31294636217575678</v>
      </c>
      <c r="R50" s="180">
        <f t="shared" si="27"/>
        <v>1.217557251908397</v>
      </c>
    </row>
    <row r="51" spans="3:18" x14ac:dyDescent="0.25">
      <c r="C51" s="177">
        <v>45</v>
      </c>
      <c r="D51" s="5">
        <f t="shared" si="28"/>
        <v>28</v>
      </c>
      <c r="E51" s="455">
        <f t="shared" si="15"/>
        <v>13.1</v>
      </c>
      <c r="F51" s="224">
        <f t="shared" si="16"/>
        <v>0.31873479318734793</v>
      </c>
      <c r="G51" s="179">
        <f t="shared" si="17"/>
        <v>5.8232846715328472</v>
      </c>
      <c r="H51" s="224">
        <f t="shared" si="18"/>
        <v>0.92433090024330911</v>
      </c>
      <c r="I51" s="455">
        <f t="shared" si="19"/>
        <v>41.1</v>
      </c>
      <c r="J51" s="179">
        <f t="shared" si="20"/>
        <v>0.15687022900763362</v>
      </c>
      <c r="K51" s="179">
        <f t="shared" si="21"/>
        <v>0.30813794983642318</v>
      </c>
      <c r="L51" s="179">
        <f t="shared" si="22"/>
        <v>0.6586154652992251</v>
      </c>
      <c r="M51" s="455">
        <f t="shared" si="14"/>
        <v>350</v>
      </c>
      <c r="N51" s="204">
        <f t="shared" si="23"/>
        <v>350</v>
      </c>
      <c r="O51" s="224">
        <f t="shared" si="24"/>
        <v>0.46361424463614248</v>
      </c>
      <c r="P51" s="180">
        <f t="shared" si="25"/>
        <v>1.9464720194647205</v>
      </c>
      <c r="Q51" s="180">
        <f t="shared" si="26"/>
        <v>0.31584425425333312</v>
      </c>
      <c r="R51" s="180">
        <f t="shared" si="27"/>
        <v>1.217557251908397</v>
      </c>
    </row>
    <row r="52" spans="3:18" x14ac:dyDescent="0.25">
      <c r="C52" s="177">
        <v>46</v>
      </c>
      <c r="D52" s="5">
        <f t="shared" si="28"/>
        <v>28.400000000000002</v>
      </c>
      <c r="E52" s="455">
        <f t="shared" si="15"/>
        <v>13.1</v>
      </c>
      <c r="F52" s="224">
        <f t="shared" si="16"/>
        <v>0.31566265060240961</v>
      </c>
      <c r="G52" s="179">
        <f t="shared" si="17"/>
        <v>5.849544578313254</v>
      </c>
      <c r="H52" s="224">
        <f t="shared" si="18"/>
        <v>0.92849913941480222</v>
      </c>
      <c r="I52" s="455">
        <f t="shared" si="19"/>
        <v>41.5</v>
      </c>
      <c r="J52" s="179">
        <f t="shared" si="20"/>
        <v>0.15616600365552094</v>
      </c>
      <c r="K52" s="179">
        <f t="shared" si="21"/>
        <v>0.30243416200893136</v>
      </c>
      <c r="L52" s="179">
        <f t="shared" si="22"/>
        <v>0.6556587939735613</v>
      </c>
      <c r="M52" s="455">
        <f t="shared" si="14"/>
        <v>350</v>
      </c>
      <c r="N52" s="204">
        <f t="shared" si="23"/>
        <v>350</v>
      </c>
      <c r="O52" s="224">
        <f t="shared" si="24"/>
        <v>0.46570489751212646</v>
      </c>
      <c r="P52" s="180">
        <f t="shared" si="25"/>
        <v>1.9552495697074013</v>
      </c>
      <c r="Q52" s="180">
        <f t="shared" si="26"/>
        <v>0.31869925516492514</v>
      </c>
      <c r="R52" s="180">
        <f t="shared" si="27"/>
        <v>1.217557251908397</v>
      </c>
    </row>
    <row r="53" spans="3:18" x14ac:dyDescent="0.25">
      <c r="C53" s="177">
        <v>47</v>
      </c>
      <c r="D53" s="5">
        <f t="shared" si="28"/>
        <v>28.799999999999997</v>
      </c>
      <c r="E53" s="455">
        <f t="shared" si="15"/>
        <v>13.1</v>
      </c>
      <c r="F53" s="224">
        <f t="shared" si="16"/>
        <v>0.31264916467780429</v>
      </c>
      <c r="G53" s="179">
        <f t="shared" si="17"/>
        <v>5.8753031026252982</v>
      </c>
      <c r="H53" s="224">
        <f t="shared" si="18"/>
        <v>0.93258779406750769</v>
      </c>
      <c r="I53" s="455">
        <f t="shared" si="19"/>
        <v>41.9</v>
      </c>
      <c r="J53" s="179">
        <f t="shared" si="20"/>
        <v>0.1554813401187447</v>
      </c>
      <c r="K53" s="179">
        <f t="shared" si="21"/>
        <v>0.29692617036565833</v>
      </c>
      <c r="L53" s="179">
        <f t="shared" si="22"/>
        <v>0.65278425240694349</v>
      </c>
      <c r="M53" s="455">
        <f t="shared" si="14"/>
        <v>350</v>
      </c>
      <c r="N53" s="204">
        <f t="shared" si="23"/>
        <v>350</v>
      </c>
      <c r="O53" s="224">
        <f t="shared" si="24"/>
        <v>0.46775563338809156</v>
      </c>
      <c r="P53" s="180">
        <f t="shared" si="25"/>
        <v>1.9638595294919876</v>
      </c>
      <c r="Q53" s="180">
        <f t="shared" si="26"/>
        <v>0.32151222533596746</v>
      </c>
      <c r="R53" s="180">
        <f t="shared" si="27"/>
        <v>1.217557251908397</v>
      </c>
    </row>
    <row r="54" spans="3:18" x14ac:dyDescent="0.25">
      <c r="C54" s="177">
        <v>48</v>
      </c>
      <c r="D54" s="5">
        <f t="shared" si="28"/>
        <v>29.2</v>
      </c>
      <c r="E54" s="455">
        <f t="shared" si="15"/>
        <v>13.1</v>
      </c>
      <c r="F54" s="224">
        <f t="shared" si="16"/>
        <v>0.30969267139479906</v>
      </c>
      <c r="G54" s="179">
        <f t="shared" si="17"/>
        <v>5.9005744680851064</v>
      </c>
      <c r="H54" s="224">
        <f t="shared" si="18"/>
        <v>0.93659912191827088</v>
      </c>
      <c r="I54" s="455">
        <f t="shared" si="19"/>
        <v>42.3</v>
      </c>
      <c r="J54" s="179">
        <f t="shared" si="20"/>
        <v>0.15481543448708562</v>
      </c>
      <c r="K54" s="179">
        <f t="shared" si="21"/>
        <v>0.29160441427362022</v>
      </c>
      <c r="L54" s="179">
        <f t="shared" si="22"/>
        <v>0.64998846540379462</v>
      </c>
      <c r="M54" s="455">
        <f t="shared" si="14"/>
        <v>350</v>
      </c>
      <c r="N54" s="204">
        <f t="shared" si="23"/>
        <v>350</v>
      </c>
      <c r="O54" s="224">
        <f t="shared" si="24"/>
        <v>0.46976758466120172</v>
      </c>
      <c r="P54" s="180">
        <f t="shared" si="25"/>
        <v>1.9723066531577171</v>
      </c>
      <c r="Q54" s="180">
        <f t="shared" si="26"/>
        <v>0.3242840064327917</v>
      </c>
      <c r="R54" s="180">
        <f t="shared" si="27"/>
        <v>1.217557251908397</v>
      </c>
    </row>
    <row r="55" spans="3:18" x14ac:dyDescent="0.25">
      <c r="C55" s="177">
        <v>49</v>
      </c>
      <c r="D55" s="5">
        <f t="shared" si="28"/>
        <v>29.6</v>
      </c>
      <c r="E55" s="455">
        <f t="shared" si="15"/>
        <v>13.1</v>
      </c>
      <c r="F55" s="224">
        <f t="shared" si="16"/>
        <v>0.30679156908665101</v>
      </c>
      <c r="G55" s="179">
        <f t="shared" si="17"/>
        <v>5.9253723653395776</v>
      </c>
      <c r="H55" s="224">
        <f t="shared" si="18"/>
        <v>0.94053529608564723</v>
      </c>
      <c r="I55" s="455">
        <f t="shared" si="19"/>
        <v>42.7</v>
      </c>
      <c r="J55" s="179">
        <f t="shared" si="20"/>
        <v>0.15416752630493089</v>
      </c>
      <c r="K55" s="179">
        <f t="shared" si="21"/>
        <v>0.28645993063416214</v>
      </c>
      <c r="L55" s="179">
        <f t="shared" si="22"/>
        <v>0.64726824021154195</v>
      </c>
      <c r="M55" s="455">
        <f t="shared" si="14"/>
        <v>350</v>
      </c>
      <c r="N55" s="204">
        <f t="shared" si="23"/>
        <v>350</v>
      </c>
      <c r="O55" s="224">
        <f t="shared" si="24"/>
        <v>0.47174184129687635</v>
      </c>
      <c r="P55" s="180">
        <f t="shared" si="25"/>
        <v>1.9805955168952825</v>
      </c>
      <c r="Q55" s="180">
        <f t="shared" si="26"/>
        <v>0.3270154216015817</v>
      </c>
      <c r="R55" s="180">
        <f t="shared" si="27"/>
        <v>1.217557251908397</v>
      </c>
    </row>
    <row r="56" spans="3:18" x14ac:dyDescent="0.25">
      <c r="C56" s="177">
        <v>50</v>
      </c>
      <c r="D56" s="5">
        <f t="shared" si="28"/>
        <v>30</v>
      </c>
      <c r="E56" s="455">
        <f t="shared" si="15"/>
        <v>13.1</v>
      </c>
      <c r="F56" s="224">
        <f t="shared" si="16"/>
        <v>0.30394431554524359</v>
      </c>
      <c r="G56" s="179">
        <f t="shared" si="17"/>
        <v>5.9497099767981432</v>
      </c>
      <c r="H56" s="224">
        <f t="shared" si="18"/>
        <v>0.94439840901557826</v>
      </c>
      <c r="I56" s="455">
        <f t="shared" si="19"/>
        <v>43.1</v>
      </c>
      <c r="J56" s="179">
        <f t="shared" si="20"/>
        <v>0.15353689567430026</v>
      </c>
      <c r="K56" s="179">
        <f t="shared" si="21"/>
        <v>0.28148430873621716</v>
      </c>
      <c r="L56" s="179">
        <f t="shared" si="22"/>
        <v>0.64462055435774934</v>
      </c>
      <c r="M56" s="455">
        <f t="shared" si="14"/>
        <v>350</v>
      </c>
      <c r="N56" s="204">
        <f t="shared" si="23"/>
        <v>350</v>
      </c>
      <c r="O56" s="224">
        <f t="shared" si="24"/>
        <v>0.47367945279778217</v>
      </c>
      <c r="P56" s="180">
        <f t="shared" si="25"/>
        <v>1.9887305270135893</v>
      </c>
      <c r="Q56" s="180">
        <f t="shared" si="26"/>
        <v>0.32970727572931469</v>
      </c>
      <c r="R56" s="180">
        <f t="shared" si="27"/>
        <v>1.217557251908397</v>
      </c>
    </row>
    <row r="57" spans="3:18" x14ac:dyDescent="0.25">
      <c r="C57" s="177">
        <v>51</v>
      </c>
      <c r="D57" s="5">
        <f t="shared" si="28"/>
        <v>30.4</v>
      </c>
      <c r="E57" s="455">
        <f t="shared" si="15"/>
        <v>13.1</v>
      </c>
      <c r="F57" s="224">
        <f t="shared" si="16"/>
        <v>0.30114942528735633</v>
      </c>
      <c r="G57" s="179">
        <f t="shared" si="17"/>
        <v>5.9735999999999994</v>
      </c>
      <c r="H57" s="224">
        <f t="shared" si="18"/>
        <v>0.94819047619047614</v>
      </c>
      <c r="I57" s="455">
        <f t="shared" si="19"/>
        <v>43.5</v>
      </c>
      <c r="J57" s="179">
        <f t="shared" si="20"/>
        <v>0.15292286058658097</v>
      </c>
      <c r="K57" s="179">
        <f t="shared" si="21"/>
        <v>0.27666964908756425</v>
      </c>
      <c r="L57" s="179">
        <f t="shared" si="22"/>
        <v>0.64204254444747733</v>
      </c>
      <c r="M57" s="455">
        <f t="shared" si="14"/>
        <v>350</v>
      </c>
      <c r="N57" s="204">
        <f t="shared" si="23"/>
        <v>350</v>
      </c>
      <c r="O57" s="224">
        <f t="shared" si="24"/>
        <v>0.47558143006418863</v>
      </c>
      <c r="P57" s="180">
        <f t="shared" si="25"/>
        <v>1.9967159277504103</v>
      </c>
      <c r="Q57" s="180">
        <f t="shared" si="26"/>
        <v>0.33236035572301914</v>
      </c>
      <c r="R57" s="180">
        <f t="shared" si="27"/>
        <v>1.217557251908397</v>
      </c>
    </row>
    <row r="58" spans="3:18" x14ac:dyDescent="0.25">
      <c r="C58" s="177">
        <v>52</v>
      </c>
      <c r="D58" s="5">
        <f t="shared" si="28"/>
        <v>30.8</v>
      </c>
      <c r="E58" s="455">
        <f t="shared" si="15"/>
        <v>13.1</v>
      </c>
      <c r="F58" s="224">
        <f t="shared" si="16"/>
        <v>0.29840546697038722</v>
      </c>
      <c r="G58" s="179">
        <f t="shared" si="17"/>
        <v>5.9970546697038722</v>
      </c>
      <c r="H58" s="224">
        <f t="shared" si="18"/>
        <v>0.95191343963553532</v>
      </c>
      <c r="I58" s="455">
        <f t="shared" si="19"/>
        <v>43.9</v>
      </c>
      <c r="J58" s="179">
        <f t="shared" si="20"/>
        <v>0.15232477446217904</v>
      </c>
      <c r="K58" s="179">
        <f t="shared" si="21"/>
        <v>0.27200852582531976</v>
      </c>
      <c r="L58" s="179">
        <f t="shared" si="22"/>
        <v>0.63953149583357627</v>
      </c>
      <c r="M58" s="455">
        <f t="shared" si="14"/>
        <v>350</v>
      </c>
      <c r="N58" s="204">
        <f t="shared" si="23"/>
        <v>350</v>
      </c>
      <c r="O58" s="224">
        <f t="shared" si="24"/>
        <v>0.47744874715261959</v>
      </c>
      <c r="P58" s="180">
        <f t="shared" si="25"/>
        <v>2.0045558086560367</v>
      </c>
      <c r="Q58" s="180">
        <f t="shared" si="26"/>
        <v>0.33497543080411585</v>
      </c>
      <c r="R58" s="180">
        <f t="shared" si="27"/>
        <v>1.217557251908397</v>
      </c>
    </row>
    <row r="59" spans="3:18" x14ac:dyDescent="0.25">
      <c r="C59" s="177">
        <v>53</v>
      </c>
      <c r="D59" s="5">
        <f t="shared" si="28"/>
        <v>31.200000000000003</v>
      </c>
      <c r="E59" s="455">
        <f t="shared" si="15"/>
        <v>13.1</v>
      </c>
      <c r="F59" s="224">
        <f t="shared" si="16"/>
        <v>0.29571106094808125</v>
      </c>
      <c r="G59" s="179">
        <f t="shared" si="17"/>
        <v>6.0200857787810387</v>
      </c>
      <c r="H59" s="224">
        <f t="shared" si="18"/>
        <v>0.95556917123508556</v>
      </c>
      <c r="I59" s="455">
        <f t="shared" si="19"/>
        <v>44.300000000000004</v>
      </c>
      <c r="J59" s="179">
        <f t="shared" si="20"/>
        <v>0.15174202387942845</v>
      </c>
      <c r="K59" s="179">
        <f t="shared" si="21"/>
        <v>0.2674939523515566</v>
      </c>
      <c r="L59" s="179">
        <f t="shared" si="22"/>
        <v>0.63708483308156993</v>
      </c>
      <c r="M59" s="455">
        <f t="shared" si="14"/>
        <v>350</v>
      </c>
      <c r="N59" s="204">
        <f t="shared" si="23"/>
        <v>350</v>
      </c>
      <c r="O59" s="224">
        <f t="shared" si="24"/>
        <v>0.47928234293922778</v>
      </c>
      <c r="P59" s="180">
        <f t="shared" si="25"/>
        <v>2.0122541115769108</v>
      </c>
      <c r="Q59" s="180">
        <f t="shared" si="26"/>
        <v>0.33755325281498666</v>
      </c>
      <c r="R59" s="180">
        <f t="shared" si="27"/>
        <v>1.217557251908397</v>
      </c>
    </row>
    <row r="60" spans="3:18" x14ac:dyDescent="0.25">
      <c r="C60" s="177">
        <v>54</v>
      </c>
      <c r="D60" s="5">
        <f t="shared" si="28"/>
        <v>31.6</v>
      </c>
      <c r="E60" s="455">
        <f t="shared" si="15"/>
        <v>13.1</v>
      </c>
      <c r="F60" s="224">
        <f t="shared" si="16"/>
        <v>0.29306487695749439</v>
      </c>
      <c r="G60" s="179">
        <f t="shared" si="17"/>
        <v>6.0427046979865775</v>
      </c>
      <c r="H60" s="224">
        <f t="shared" si="18"/>
        <v>0.95915947587088535</v>
      </c>
      <c r="I60" s="455">
        <f t="shared" si="19"/>
        <v>44.7</v>
      </c>
      <c r="J60" s="179">
        <f t="shared" si="20"/>
        <v>0.15117402647598802</v>
      </c>
      <c r="K60" s="179">
        <f t="shared" si="21"/>
        <v>0.26311934987909302</v>
      </c>
      <c r="L60" s="179">
        <f t="shared" si="22"/>
        <v>0.63470011115872826</v>
      </c>
      <c r="M60" s="455">
        <f t="shared" si="14"/>
        <v>350</v>
      </c>
      <c r="N60" s="204">
        <f t="shared" si="23"/>
        <v>350</v>
      </c>
      <c r="O60" s="224">
        <f t="shared" si="24"/>
        <v>0.481083122693861</v>
      </c>
      <c r="P60" s="180">
        <f t="shared" si="25"/>
        <v>2.019814637264302</v>
      </c>
      <c r="Q60" s="180">
        <f t="shared" si="26"/>
        <v>0.3400945565352575</v>
      </c>
      <c r="R60" s="180">
        <f t="shared" si="27"/>
        <v>1.217557251908397</v>
      </c>
    </row>
    <row r="61" spans="3:18" x14ac:dyDescent="0.25">
      <c r="C61" s="177">
        <v>55</v>
      </c>
      <c r="D61" s="5">
        <f t="shared" si="28"/>
        <v>32</v>
      </c>
      <c r="E61" s="455">
        <f t="shared" si="15"/>
        <v>13.1</v>
      </c>
      <c r="F61" s="224">
        <f t="shared" si="16"/>
        <v>0.29046563192904656</v>
      </c>
      <c r="G61" s="179">
        <f t="shared" si="17"/>
        <v>6.0649223946784918</v>
      </c>
      <c r="H61" s="224">
        <f t="shared" si="18"/>
        <v>0.96268609439341146</v>
      </c>
      <c r="I61" s="455">
        <f t="shared" si="19"/>
        <v>45.1</v>
      </c>
      <c r="J61" s="179">
        <f t="shared" si="20"/>
        <v>0.15062022900763358</v>
      </c>
      <c r="K61" s="179">
        <f t="shared" si="21"/>
        <v>0.25887851860687022</v>
      </c>
      <c r="L61" s="179">
        <f t="shared" si="22"/>
        <v>0.63237500728395779</v>
      </c>
      <c r="M61" s="455">
        <f t="shared" si="14"/>
        <v>350</v>
      </c>
      <c r="N61" s="204">
        <f t="shared" si="23"/>
        <v>350</v>
      </c>
      <c r="O61" s="224">
        <f t="shared" si="24"/>
        <v>0.48285195957036314</v>
      </c>
      <c r="P61" s="180">
        <f t="shared" si="25"/>
        <v>2.0272410516312958</v>
      </c>
      <c r="Q61" s="180">
        <f t="shared" si="26"/>
        <v>0.34260006000557924</v>
      </c>
      <c r="R61" s="180">
        <f t="shared" si="27"/>
        <v>1.217557251908397</v>
      </c>
    </row>
    <row r="62" spans="3:18" x14ac:dyDescent="0.25">
      <c r="C62" s="177">
        <v>56</v>
      </c>
      <c r="D62" s="5">
        <f t="shared" si="28"/>
        <v>32.400000000000006</v>
      </c>
      <c r="E62" s="455">
        <f t="shared" si="15"/>
        <v>13.1</v>
      </c>
      <c r="F62" s="224">
        <f t="shared" si="16"/>
        <v>0.28791208791208783</v>
      </c>
      <c r="G62" s="179">
        <f t="shared" si="17"/>
        <v>6.0867494505494495</v>
      </c>
      <c r="H62" s="224">
        <f t="shared" si="18"/>
        <v>0.96615070643642054</v>
      </c>
      <c r="I62" s="455">
        <f t="shared" si="19"/>
        <v>45.500000000000007</v>
      </c>
      <c r="J62" s="179">
        <f t="shared" si="20"/>
        <v>0.15008010555084347</v>
      </c>
      <c r="K62" s="179">
        <f t="shared" si="21"/>
        <v>0.25476561127457992</v>
      </c>
      <c r="L62" s="179">
        <f t="shared" si="22"/>
        <v>0.63010731338140402</v>
      </c>
      <c r="M62" s="455">
        <f t="shared" si="14"/>
        <v>350</v>
      </c>
      <c r="N62" s="204">
        <f t="shared" si="23"/>
        <v>350</v>
      </c>
      <c r="O62" s="224">
        <f t="shared" si="24"/>
        <v>0.48458969601826751</v>
      </c>
      <c r="P62" s="180">
        <f t="shared" si="25"/>
        <v>2.0345368916797493</v>
      </c>
      <c r="Q62" s="180">
        <f t="shared" si="26"/>
        <v>0.34507046485696419</v>
      </c>
      <c r="R62" s="180">
        <f t="shared" si="27"/>
        <v>1.217557251908397</v>
      </c>
    </row>
    <row r="63" spans="3:18" x14ac:dyDescent="0.25">
      <c r="C63" s="177">
        <v>57</v>
      </c>
      <c r="D63" s="5">
        <f t="shared" si="28"/>
        <v>32.799999999999997</v>
      </c>
      <c r="E63" s="455">
        <f t="shared" si="15"/>
        <v>13.1</v>
      </c>
      <c r="F63" s="224">
        <f t="shared" si="16"/>
        <v>0.28540305010893247</v>
      </c>
      <c r="G63" s="179">
        <f t="shared" si="17"/>
        <v>6.1081960784313729</v>
      </c>
      <c r="H63" s="224">
        <f t="shared" si="18"/>
        <v>0.96955493308434493</v>
      </c>
      <c r="I63" s="455">
        <f t="shared" si="19"/>
        <v>45.9</v>
      </c>
      <c r="J63" s="179">
        <f t="shared" si="20"/>
        <v>0.14955315583690187</v>
      </c>
      <c r="K63" s="179">
        <f t="shared" si="21"/>
        <v>0.25077510887285376</v>
      </c>
      <c r="L63" s="179">
        <f t="shared" si="22"/>
        <v>0.62789492908622935</v>
      </c>
      <c r="M63" s="455">
        <f t="shared" si="14"/>
        <v>350</v>
      </c>
      <c r="N63" s="204">
        <f t="shared" si="23"/>
        <v>350</v>
      </c>
      <c r="O63" s="224">
        <f t="shared" si="24"/>
        <v>0.48629714512067451</v>
      </c>
      <c r="P63" s="180">
        <f t="shared" si="25"/>
        <v>2.041705571117336</v>
      </c>
      <c r="Q63" s="180">
        <f t="shared" si="26"/>
        <v>0.34750645664396784</v>
      </c>
      <c r="R63" s="180">
        <f t="shared" si="27"/>
        <v>1.217557251908397</v>
      </c>
    </row>
    <row r="64" spans="3:18" x14ac:dyDescent="0.25">
      <c r="C64" s="177">
        <v>58</v>
      </c>
      <c r="D64" s="5">
        <f t="shared" si="28"/>
        <v>33.200000000000003</v>
      </c>
      <c r="E64" s="455">
        <f t="shared" si="15"/>
        <v>13.1</v>
      </c>
      <c r="F64" s="224">
        <f t="shared" si="16"/>
        <v>0.28293736501079908</v>
      </c>
      <c r="G64" s="179">
        <f t="shared" si="17"/>
        <v>6.1292721382289415</v>
      </c>
      <c r="H64" s="224">
        <f t="shared" si="18"/>
        <v>0.97290033940141929</v>
      </c>
      <c r="I64" s="455">
        <f t="shared" si="19"/>
        <v>46.300000000000004</v>
      </c>
      <c r="J64" s="179">
        <f t="shared" si="20"/>
        <v>0.14903890370642878</v>
      </c>
      <c r="K64" s="179">
        <f t="shared" si="21"/>
        <v>0.24690179830884279</v>
      </c>
      <c r="L64" s="179">
        <f t="shared" si="22"/>
        <v>0.62573585525599873</v>
      </c>
      <c r="M64" s="455">
        <f t="shared" si="14"/>
        <v>350</v>
      </c>
      <c r="N64" s="204">
        <f t="shared" si="23"/>
        <v>350</v>
      </c>
      <c r="O64" s="224">
        <f t="shared" si="24"/>
        <v>0.48797509186278087</v>
      </c>
      <c r="P64" s="180">
        <f t="shared" si="25"/>
        <v>2.048750385683431</v>
      </c>
      <c r="Q64" s="180">
        <f t="shared" si="26"/>
        <v>0.34990870518022305</v>
      </c>
      <c r="R64" s="180">
        <f t="shared" si="27"/>
        <v>1.217557251908397</v>
      </c>
    </row>
    <row r="65" spans="3:18" x14ac:dyDescent="0.25">
      <c r="C65" s="177">
        <v>59</v>
      </c>
      <c r="D65" s="5">
        <f t="shared" si="28"/>
        <v>33.599999999999994</v>
      </c>
      <c r="E65" s="455">
        <f t="shared" si="15"/>
        <v>13.1</v>
      </c>
      <c r="F65" s="224">
        <f t="shared" si="16"/>
        <v>0.28051391862955033</v>
      </c>
      <c r="G65" s="179">
        <f t="shared" si="17"/>
        <v>6.1499871520342602</v>
      </c>
      <c r="H65" s="224">
        <f t="shared" si="18"/>
        <v>0.976188436830835</v>
      </c>
      <c r="I65" s="455">
        <f t="shared" si="19"/>
        <v>46.699999999999996</v>
      </c>
      <c r="J65" s="179">
        <f t="shared" si="20"/>
        <v>0.14853689567430028</v>
      </c>
      <c r="K65" s="179">
        <f t="shared" si="21"/>
        <v>0.24314075184781303</v>
      </c>
      <c r="L65" s="179">
        <f t="shared" si="22"/>
        <v>0.62362818794553554</v>
      </c>
      <c r="M65" s="455">
        <f t="shared" si="14"/>
        <v>350</v>
      </c>
      <c r="N65" s="204">
        <f t="shared" si="23"/>
        <v>350</v>
      </c>
      <c r="O65" s="224">
        <f t="shared" si="24"/>
        <v>0.48962429433521504</v>
      </c>
      <c r="P65" s="180">
        <f t="shared" si="25"/>
        <v>2.0556745182012848</v>
      </c>
      <c r="Q65" s="180">
        <f t="shared" si="26"/>
        <v>0.3522778648750155</v>
      </c>
      <c r="R65" s="180">
        <f t="shared" si="27"/>
        <v>1.217557251908397</v>
      </c>
    </row>
    <row r="66" spans="3:18" x14ac:dyDescent="0.25">
      <c r="C66" s="177">
        <v>60</v>
      </c>
      <c r="D66" s="5">
        <f t="shared" si="28"/>
        <v>34</v>
      </c>
      <c r="E66" s="455">
        <f t="shared" si="15"/>
        <v>13.1</v>
      </c>
      <c r="F66" s="224">
        <f t="shared" si="16"/>
        <v>0.2781316348195329</v>
      </c>
      <c r="G66" s="179">
        <f t="shared" si="17"/>
        <v>6.1703503184713382</v>
      </c>
      <c r="H66" s="224">
        <f t="shared" si="18"/>
        <v>0.97942068547164096</v>
      </c>
      <c r="I66" s="455">
        <f t="shared" si="19"/>
        <v>47.1</v>
      </c>
      <c r="J66" s="179">
        <f t="shared" si="20"/>
        <v>0.14804669959586889</v>
      </c>
      <c r="K66" s="179">
        <f t="shared" si="21"/>
        <v>0.23948730816978792</v>
      </c>
      <c r="L66" s="179">
        <f t="shared" si="22"/>
        <v>0.62157011280708319</v>
      </c>
      <c r="M66" s="455">
        <f t="shared" si="14"/>
        <v>350</v>
      </c>
      <c r="N66" s="204">
        <f t="shared" si="23"/>
        <v>350</v>
      </c>
      <c r="O66" s="224">
        <f t="shared" si="24"/>
        <v>0.49124548487605818</v>
      </c>
      <c r="P66" s="180">
        <f t="shared" si="25"/>
        <v>2.0624810433727636</v>
      </c>
      <c r="Q66" s="180">
        <f t="shared" si="26"/>
        <v>0.35461457506976601</v>
      </c>
      <c r="R66" s="180">
        <f t="shared" si="27"/>
        <v>1.217557251908397</v>
      </c>
    </row>
    <row r="67" spans="3:18" x14ac:dyDescent="0.25">
      <c r="C67" s="177">
        <v>61</v>
      </c>
      <c r="D67" s="5">
        <f t="shared" si="28"/>
        <v>34.4</v>
      </c>
      <c r="E67" s="455">
        <f t="shared" si="15"/>
        <v>13.1</v>
      </c>
      <c r="F67" s="224">
        <f t="shared" si="16"/>
        <v>0.27578947368421053</v>
      </c>
      <c r="G67" s="179">
        <f t="shared" si="17"/>
        <v>6.1903705263157898</v>
      </c>
      <c r="H67" s="224">
        <f t="shared" si="18"/>
        <v>0.98259849624060158</v>
      </c>
      <c r="I67" s="455">
        <f t="shared" si="19"/>
        <v>47.5</v>
      </c>
      <c r="J67" s="179">
        <f t="shared" si="20"/>
        <v>0.14756790342623824</v>
      </c>
      <c r="K67" s="179">
        <f t="shared" si="21"/>
        <v>0.23593705489660186</v>
      </c>
      <c r="L67" s="179">
        <f t="shared" si="22"/>
        <v>0.61955989988115301</v>
      </c>
      <c r="M67" s="455">
        <f t="shared" si="14"/>
        <v>350</v>
      </c>
      <c r="N67" s="204">
        <f t="shared" si="23"/>
        <v>350</v>
      </c>
      <c r="O67" s="224">
        <f t="shared" si="24"/>
        <v>0.49283937115516058</v>
      </c>
      <c r="P67" s="180">
        <f t="shared" si="25"/>
        <v>2.0691729323308272</v>
      </c>
      <c r="Q67" s="180">
        <f t="shared" si="26"/>
        <v>0.35691946037342159</v>
      </c>
      <c r="R67" s="180">
        <f t="shared" si="27"/>
        <v>1.217557251908397</v>
      </c>
    </row>
    <row r="68" spans="3:18" x14ac:dyDescent="0.25">
      <c r="C68" s="177">
        <v>62</v>
      </c>
      <c r="D68" s="5">
        <f t="shared" si="28"/>
        <v>34.799999999999997</v>
      </c>
      <c r="E68" s="455">
        <f t="shared" si="15"/>
        <v>13.1</v>
      </c>
      <c r="F68" s="224">
        <f t="shared" si="16"/>
        <v>0.27348643006263046</v>
      </c>
      <c r="G68" s="179">
        <f t="shared" si="17"/>
        <v>6.2100563674321494</v>
      </c>
      <c r="H68" s="224">
        <f t="shared" si="18"/>
        <v>0.98572323292573805</v>
      </c>
      <c r="I68" s="455">
        <f t="shared" si="19"/>
        <v>47.9</v>
      </c>
      <c r="J68" s="179">
        <f t="shared" si="20"/>
        <v>0.14710011406510487</v>
      </c>
      <c r="K68" s="179">
        <f t="shared" si="21"/>
        <v>0.23248581245921748</v>
      </c>
      <c r="L68" s="179">
        <f t="shared" si="22"/>
        <v>0.61759589874662346</v>
      </c>
      <c r="M68" s="455">
        <f t="shared" si="14"/>
        <v>350</v>
      </c>
      <c r="N68" s="204">
        <f t="shared" si="23"/>
        <v>350</v>
      </c>
      <c r="O68" s="224">
        <f t="shared" si="24"/>
        <v>0.49440663720413192</v>
      </c>
      <c r="P68" s="180">
        <f t="shared" si="25"/>
        <v>2.0757530569639124</v>
      </c>
      <c r="Q68" s="180">
        <f t="shared" si="26"/>
        <v>0.35919313099590366</v>
      </c>
      <c r="R68" s="180">
        <f t="shared" si="27"/>
        <v>1.217557251908397</v>
      </c>
    </row>
    <row r="69" spans="3:18" x14ac:dyDescent="0.25">
      <c r="C69" s="177">
        <v>63</v>
      </c>
      <c r="D69" s="5">
        <f t="shared" si="28"/>
        <v>35.200000000000003</v>
      </c>
      <c r="E69" s="455">
        <f t="shared" si="15"/>
        <v>13.1</v>
      </c>
      <c r="F69" s="224">
        <f t="shared" si="16"/>
        <v>0.27122153209109728</v>
      </c>
      <c r="G69" s="179">
        <f t="shared" si="17"/>
        <v>6.2294161490683226</v>
      </c>
      <c r="H69" s="224">
        <f t="shared" si="18"/>
        <v>0.98879621413782903</v>
      </c>
      <c r="I69" s="455">
        <f t="shared" si="19"/>
        <v>48.300000000000004</v>
      </c>
      <c r="J69" s="179">
        <f t="shared" si="20"/>
        <v>0.14664295628036084</v>
      </c>
      <c r="K69" s="179">
        <f t="shared" si="21"/>
        <v>0.22912961918806382</v>
      </c>
      <c r="L69" s="179">
        <f t="shared" si="22"/>
        <v>0.61567653400151501</v>
      </c>
      <c r="M69" s="455">
        <f t="shared" si="14"/>
        <v>350</v>
      </c>
      <c r="N69" s="204">
        <f t="shared" si="23"/>
        <v>350</v>
      </c>
      <c r="O69" s="224">
        <f t="shared" si="24"/>
        <v>0.49594794439514939</v>
      </c>
      <c r="P69" s="180">
        <f t="shared" si="25"/>
        <v>2.0822241940254362</v>
      </c>
      <c r="Q69" s="180">
        <f t="shared" si="26"/>
        <v>0.36143618307886666</v>
      </c>
      <c r="R69" s="180">
        <f t="shared" si="27"/>
        <v>1.217557251908397</v>
      </c>
    </row>
    <row r="70" spans="3:18" x14ac:dyDescent="0.25">
      <c r="C70" s="177">
        <v>64</v>
      </c>
      <c r="D70" s="5">
        <f t="shared" si="28"/>
        <v>35.6</v>
      </c>
      <c r="E70" s="455">
        <f t="shared" ref="E70:E106" si="29">(Vout+Vfwd1)*Nps</f>
        <v>13.1</v>
      </c>
      <c r="F70" s="224">
        <f t="shared" ref="F70:F106" si="30">(Vout+Vfwd1)*Nps/((Vout+Vfwd1)*Nps+D70)</f>
        <v>0.26899383983572894</v>
      </c>
      <c r="G70" s="179">
        <f t="shared" ref="G70:G101" si="31">F70*D70*Isw_max*0.5*Efficiency</f>
        <v>6.2484579055441483</v>
      </c>
      <c r="H70" s="224">
        <f t="shared" ref="H70:H101" si="32">G70/Vout</f>
        <v>0.99181871516573783</v>
      </c>
      <c r="I70" s="455">
        <f t="shared" ref="I70:I106" si="33">(Vout+Vfwd1)*Nps+D70</f>
        <v>48.7</v>
      </c>
      <c r="J70" s="179">
        <f t="shared" ref="J70:J106" si="34">MIN(2*Vout*Iout/(Efficiency*D70*F70), 1.35)</f>
        <v>0.1461960717042628</v>
      </c>
      <c r="K70" s="179">
        <f t="shared" ref="K70:K101" si="35">L*J70/D70*1000000</f>
        <v>0.22586471752063073</v>
      </c>
      <c r="L70" s="179">
        <f t="shared" ref="L70:L106" si="36">L*J70/((Vout+Vfwd1)*Nps)*1000000</f>
        <v>0.61380030104843164</v>
      </c>
      <c r="M70" s="455">
        <f t="shared" si="14"/>
        <v>350</v>
      </c>
      <c r="N70" s="204">
        <f t="shared" ref="N70:N106" si="37">IF(1/((350000*L)*(1/D70+1/E70))&gt;Isw_min, 350, 0.001/((Isw_min*L)*(1/D70+1/E70)))</f>
        <v>350</v>
      </c>
      <c r="O70" s="224">
        <f t="shared" ref="O70:O101" si="38">1/((N70*1000*L)*(1/D70+1/E70))</f>
        <v>0.49746393237152997</v>
      </c>
      <c r="P70" s="180">
        <f t="shared" ref="P70:P101" si="39">L*O70/E70*1000000</f>
        <v>2.0885890290407749</v>
      </c>
      <c r="Q70" s="180">
        <f t="shared" ref="Q70:Q101" si="40">0.5*P70*O70*Nps*N70/1000</f>
        <v>0.36364919902313086</v>
      </c>
      <c r="R70" s="180">
        <f t="shared" ref="R70:R106" si="41">L*Isw_min/E70*1000000</f>
        <v>1.217557251908397</v>
      </c>
    </row>
    <row r="71" spans="3:18" x14ac:dyDescent="0.25">
      <c r="C71" s="177">
        <v>65</v>
      </c>
      <c r="D71" s="5">
        <f t="shared" ref="D71:D102" si="42">C71/100*(VIN_max-VIN_min)+VIN_min</f>
        <v>36</v>
      </c>
      <c r="E71" s="455">
        <f t="shared" si="29"/>
        <v>13.1</v>
      </c>
      <c r="F71" s="224">
        <f t="shared" si="30"/>
        <v>0.26680244399185332</v>
      </c>
      <c r="G71" s="179">
        <f t="shared" si="31"/>
        <v>6.2671894093686342</v>
      </c>
      <c r="H71" s="224">
        <f t="shared" si="32"/>
        <v>0.99479196974105311</v>
      </c>
      <c r="I71" s="455">
        <f t="shared" si="33"/>
        <v>49.1</v>
      </c>
      <c r="J71" s="179">
        <f t="shared" si="34"/>
        <v>0.14575911789652252</v>
      </c>
      <c r="K71" s="179">
        <f t="shared" si="35"/>
        <v>0.22268754123079829</v>
      </c>
      <c r="L71" s="179">
        <f t="shared" si="36"/>
        <v>0.61196576216097243</v>
      </c>
      <c r="M71" s="455">
        <f t="shared" ref="M71:M106" si="43">MIN(1/(K71+L71)*1000, 350)</f>
        <v>350</v>
      </c>
      <c r="N71" s="204">
        <f t="shared" si="37"/>
        <v>350</v>
      </c>
      <c r="O71" s="224">
        <f t="shared" si="38"/>
        <v>0.49895521993281666</v>
      </c>
      <c r="P71" s="180">
        <f t="shared" si="39"/>
        <v>2.0948501600232761</v>
      </c>
      <c r="Q71" s="180">
        <f t="shared" si="40"/>
        <v>0.36583274781224845</v>
      </c>
      <c r="R71" s="180">
        <f t="shared" si="41"/>
        <v>1.217557251908397</v>
      </c>
    </row>
    <row r="72" spans="3:18" x14ac:dyDescent="0.25">
      <c r="C72" s="177">
        <v>66</v>
      </c>
      <c r="D72" s="5">
        <f t="shared" si="42"/>
        <v>36.400000000000006</v>
      </c>
      <c r="E72" s="455">
        <f t="shared" si="29"/>
        <v>13.1</v>
      </c>
      <c r="F72" s="224">
        <f t="shared" si="30"/>
        <v>0.26464646464646457</v>
      </c>
      <c r="G72" s="179">
        <f t="shared" si="31"/>
        <v>6.2856181818181804</v>
      </c>
      <c r="H72" s="224">
        <f t="shared" si="32"/>
        <v>0.99771717171717156</v>
      </c>
      <c r="I72" s="455">
        <f t="shared" si="33"/>
        <v>49.500000000000007</v>
      </c>
      <c r="J72" s="179">
        <f t="shared" si="34"/>
        <v>0.14533176746917206</v>
      </c>
      <c r="K72" s="179">
        <f t="shared" si="35"/>
        <v>0.2195947035935292</v>
      </c>
      <c r="L72" s="179">
        <f t="shared" si="36"/>
        <v>0.61017154280950114</v>
      </c>
      <c r="M72" s="455">
        <f t="shared" si="43"/>
        <v>350</v>
      </c>
      <c r="N72" s="204">
        <f t="shared" si="37"/>
        <v>350</v>
      </c>
      <c r="O72" s="224">
        <f t="shared" si="38"/>
        <v>0.5004224058769513</v>
      </c>
      <c r="P72" s="180">
        <f t="shared" si="39"/>
        <v>2.1010101010101008</v>
      </c>
      <c r="Q72" s="180">
        <f t="shared" si="40"/>
        <v>0.36798738533173786</v>
      </c>
      <c r="R72" s="180">
        <f t="shared" si="41"/>
        <v>1.217557251908397</v>
      </c>
    </row>
    <row r="73" spans="3:18" x14ac:dyDescent="0.25">
      <c r="C73" s="177">
        <v>67</v>
      </c>
      <c r="D73" s="5">
        <f t="shared" si="42"/>
        <v>36.799999999999997</v>
      </c>
      <c r="E73" s="455">
        <f t="shared" si="29"/>
        <v>13.1</v>
      </c>
      <c r="F73" s="224">
        <f t="shared" si="30"/>
        <v>0.26252505010020039</v>
      </c>
      <c r="G73" s="179">
        <f t="shared" si="31"/>
        <v>6.3037515030060112</v>
      </c>
      <c r="H73" s="224">
        <f t="shared" si="32"/>
        <v>1.0005954766676208</v>
      </c>
      <c r="I73" s="455">
        <f t="shared" si="33"/>
        <v>49.9</v>
      </c>
      <c r="J73" s="179">
        <f t="shared" si="34"/>
        <v>0.14491370726850319</v>
      </c>
      <c r="K73" s="179">
        <f t="shared" si="35"/>
        <v>0.21658298640673032</v>
      </c>
      <c r="L73" s="179">
        <f t="shared" si="36"/>
        <v>0.60841632822654013</v>
      </c>
      <c r="M73" s="455">
        <f t="shared" si="43"/>
        <v>350</v>
      </c>
      <c r="N73" s="204">
        <f t="shared" si="37"/>
        <v>350</v>
      </c>
      <c r="O73" s="224">
        <f t="shared" si="38"/>
        <v>0.50186606980194159</v>
      </c>
      <c r="P73" s="180">
        <f t="shared" si="39"/>
        <v>2.1070712854279989</v>
      </c>
      <c r="Q73" s="180">
        <f t="shared" si="40"/>
        <v>0.37011365468359619</v>
      </c>
      <c r="R73" s="180">
        <f t="shared" si="41"/>
        <v>1.217557251908397</v>
      </c>
    </row>
    <row r="74" spans="3:18" x14ac:dyDescent="0.25">
      <c r="C74" s="177">
        <v>68</v>
      </c>
      <c r="D74" s="5">
        <f t="shared" si="42"/>
        <v>37.200000000000003</v>
      </c>
      <c r="E74" s="455">
        <f t="shared" si="29"/>
        <v>13.1</v>
      </c>
      <c r="F74" s="224">
        <f t="shared" si="30"/>
        <v>0.26043737574552683</v>
      </c>
      <c r="G74" s="179">
        <f t="shared" si="31"/>
        <v>6.3215964214711722</v>
      </c>
      <c r="H74" s="224">
        <f t="shared" si="32"/>
        <v>1.0034280034081227</v>
      </c>
      <c r="I74" s="455">
        <f t="shared" si="33"/>
        <v>50.300000000000004</v>
      </c>
      <c r="J74" s="179">
        <f t="shared" si="34"/>
        <v>0.1445046376097841</v>
      </c>
      <c r="K74" s="179">
        <f t="shared" si="35"/>
        <v>0.21364932979941198</v>
      </c>
      <c r="L74" s="179">
        <f t="shared" si="36"/>
        <v>0.60669886019375008</v>
      </c>
      <c r="M74" s="455">
        <f t="shared" si="43"/>
        <v>350</v>
      </c>
      <c r="N74" s="204">
        <f t="shared" si="37"/>
        <v>350</v>
      </c>
      <c r="O74" s="224">
        <f t="shared" si="38"/>
        <v>0.50328677286927792</v>
      </c>
      <c r="P74" s="180">
        <f t="shared" si="39"/>
        <v>2.1130360692984951</v>
      </c>
      <c r="Q74" s="180">
        <f t="shared" si="40"/>
        <v>0.37221208649576826</v>
      </c>
      <c r="R74" s="180">
        <f t="shared" si="41"/>
        <v>1.217557251908397</v>
      </c>
    </row>
    <row r="75" spans="3:18" x14ac:dyDescent="0.25">
      <c r="C75" s="177">
        <v>69</v>
      </c>
      <c r="D75" s="5">
        <f t="shared" si="42"/>
        <v>37.599999999999994</v>
      </c>
      <c r="E75" s="455">
        <f t="shared" si="29"/>
        <v>13.1</v>
      </c>
      <c r="F75" s="224">
        <f t="shared" si="30"/>
        <v>0.2583826429980276</v>
      </c>
      <c r="G75" s="179">
        <f t="shared" si="31"/>
        <v>6.3391597633136083</v>
      </c>
      <c r="H75" s="224">
        <f t="shared" si="32"/>
        <v>1.0062158354466044</v>
      </c>
      <c r="I75" s="455">
        <f t="shared" si="33"/>
        <v>50.699999999999996</v>
      </c>
      <c r="J75" s="179">
        <f t="shared" si="34"/>
        <v>0.14410427156082511</v>
      </c>
      <c r="K75" s="179">
        <f t="shared" si="35"/>
        <v>0.21079082276184527</v>
      </c>
      <c r="L75" s="179">
        <f t="shared" si="36"/>
        <v>0.60501793403399851</v>
      </c>
      <c r="M75" s="455">
        <f t="shared" si="43"/>
        <v>350</v>
      </c>
      <c r="N75" s="204">
        <f t="shared" si="37"/>
        <v>350</v>
      </c>
      <c r="O75" s="224">
        <f t="shared" si="38"/>
        <v>0.50468505853121237</v>
      </c>
      <c r="P75" s="180">
        <f t="shared" si="39"/>
        <v>2.1189067342913495</v>
      </c>
      <c r="Q75" s="180">
        <f t="shared" si="40"/>
        <v>0.37428319922630343</v>
      </c>
      <c r="R75" s="180">
        <f t="shared" si="41"/>
        <v>1.217557251908397</v>
      </c>
    </row>
    <row r="76" spans="3:18" x14ac:dyDescent="0.25">
      <c r="C76" s="177">
        <v>70</v>
      </c>
      <c r="D76" s="5">
        <f t="shared" si="42"/>
        <v>38</v>
      </c>
      <c r="E76" s="455">
        <f t="shared" si="29"/>
        <v>13.1</v>
      </c>
      <c r="F76" s="224">
        <f t="shared" si="30"/>
        <v>0.25636007827788648</v>
      </c>
      <c r="G76" s="179">
        <f t="shared" si="31"/>
        <v>6.3564481409001958</v>
      </c>
      <c r="H76" s="224">
        <f t="shared" si="32"/>
        <v>1.0089600223651105</v>
      </c>
      <c r="I76" s="455">
        <f t="shared" si="33"/>
        <v>51.1</v>
      </c>
      <c r="J76" s="179">
        <f t="shared" si="34"/>
        <v>0.14371233427079147</v>
      </c>
      <c r="K76" s="179">
        <f t="shared" si="35"/>
        <v>0.20800469433930344</v>
      </c>
      <c r="L76" s="179">
        <f t="shared" si="36"/>
        <v>0.6033723957933993</v>
      </c>
      <c r="M76" s="455">
        <f t="shared" si="43"/>
        <v>350</v>
      </c>
      <c r="N76" s="204">
        <f t="shared" si="37"/>
        <v>350</v>
      </c>
      <c r="O76" s="224">
        <f t="shared" si="38"/>
        <v>0.50606145322387985</v>
      </c>
      <c r="P76" s="180">
        <f t="shared" si="39"/>
        <v>2.1246854906346107</v>
      </c>
      <c r="Q76" s="180">
        <f t="shared" si="40"/>
        <v>0.37632749946198518</v>
      </c>
      <c r="R76" s="180">
        <f t="shared" si="41"/>
        <v>1.217557251908397</v>
      </c>
    </row>
    <row r="77" spans="3:18" x14ac:dyDescent="0.25">
      <c r="C77" s="177">
        <v>71</v>
      </c>
      <c r="D77" s="5">
        <f t="shared" si="42"/>
        <v>38.4</v>
      </c>
      <c r="E77" s="455">
        <f t="shared" si="29"/>
        <v>13.1</v>
      </c>
      <c r="F77" s="224">
        <f t="shared" si="30"/>
        <v>0.25436893203883493</v>
      </c>
      <c r="G77" s="179">
        <f t="shared" si="31"/>
        <v>6.3734679611650478</v>
      </c>
      <c r="H77" s="224">
        <f t="shared" si="32"/>
        <v>1.0116615811373093</v>
      </c>
      <c r="I77" s="455">
        <f t="shared" si="33"/>
        <v>51.5</v>
      </c>
      <c r="J77" s="179">
        <f t="shared" si="34"/>
        <v>0.14332856234096694</v>
      </c>
      <c r="K77" s="179">
        <f t="shared" si="35"/>
        <v>0.20528830543628079</v>
      </c>
      <c r="L77" s="179">
        <f t="shared" si="36"/>
        <v>0.60176113959947963</v>
      </c>
      <c r="M77" s="455">
        <f t="shared" si="43"/>
        <v>350</v>
      </c>
      <c r="N77" s="204">
        <f t="shared" si="37"/>
        <v>350</v>
      </c>
      <c r="O77" s="224">
        <f t="shared" si="38"/>
        <v>0.50741646702811749</v>
      </c>
      <c r="P77" s="180">
        <f t="shared" si="39"/>
        <v>2.1303744798890429</v>
      </c>
      <c r="Q77" s="180">
        <f t="shared" si="40"/>
        <v>0.37834548221125658</v>
      </c>
      <c r="R77" s="180">
        <f t="shared" si="41"/>
        <v>1.217557251908397</v>
      </c>
    </row>
    <row r="78" spans="3:18" x14ac:dyDescent="0.25">
      <c r="C78" s="177">
        <v>72</v>
      </c>
      <c r="D78" s="5">
        <f t="shared" si="42"/>
        <v>38.799999999999997</v>
      </c>
      <c r="E78" s="455">
        <f t="shared" si="29"/>
        <v>13.1</v>
      </c>
      <c r="F78" s="224">
        <f t="shared" si="30"/>
        <v>0.25240847784200388</v>
      </c>
      <c r="G78" s="179">
        <f t="shared" si="31"/>
        <v>6.3902254335260116</v>
      </c>
      <c r="H78" s="224">
        <f t="shared" si="32"/>
        <v>1.0143214973850812</v>
      </c>
      <c r="I78" s="455">
        <f t="shared" si="33"/>
        <v>51.9</v>
      </c>
      <c r="J78" s="179">
        <f t="shared" si="34"/>
        <v>0.14295270323443771</v>
      </c>
      <c r="K78" s="179">
        <f t="shared" si="35"/>
        <v>0.20263914118283696</v>
      </c>
      <c r="L78" s="179">
        <f t="shared" si="36"/>
        <v>0.60018310518275375</v>
      </c>
      <c r="M78" s="455">
        <f t="shared" si="43"/>
        <v>350</v>
      </c>
      <c r="N78" s="204">
        <f t="shared" si="37"/>
        <v>350</v>
      </c>
      <c r="O78" s="224">
        <f t="shared" si="38"/>
        <v>0.50875059429972724</v>
      </c>
      <c r="P78" s="180">
        <f t="shared" si="39"/>
        <v>2.1359757775942749</v>
      </c>
      <c r="Q78" s="180">
        <f t="shared" si="40"/>
        <v>0.3803376311913183</v>
      </c>
      <c r="R78" s="180">
        <f t="shared" si="41"/>
        <v>1.217557251908397</v>
      </c>
    </row>
    <row r="79" spans="3:18" x14ac:dyDescent="0.25">
      <c r="C79" s="177">
        <v>73</v>
      </c>
      <c r="D79" s="5">
        <f t="shared" si="42"/>
        <v>39.200000000000003</v>
      </c>
      <c r="E79" s="455">
        <f t="shared" si="29"/>
        <v>13.1</v>
      </c>
      <c r="F79" s="224">
        <f t="shared" si="30"/>
        <v>0.25047801147227533</v>
      </c>
      <c r="G79" s="179">
        <f t="shared" si="31"/>
        <v>6.4067265774378583</v>
      </c>
      <c r="H79" s="224">
        <f t="shared" si="32"/>
        <v>1.0169407265774379</v>
      </c>
      <c r="I79" s="455">
        <f t="shared" si="33"/>
        <v>52.300000000000004</v>
      </c>
      <c r="J79" s="179">
        <f t="shared" si="34"/>
        <v>0.14258451472191933</v>
      </c>
      <c r="K79" s="179">
        <f t="shared" si="35"/>
        <v>0.20005480381901944</v>
      </c>
      <c r="L79" s="179">
        <f t="shared" si="36"/>
        <v>0.59863727555004298</v>
      </c>
      <c r="M79" s="455">
        <f t="shared" si="43"/>
        <v>350</v>
      </c>
      <c r="N79" s="204">
        <f t="shared" si="37"/>
        <v>350</v>
      </c>
      <c r="O79" s="224">
        <f t="shared" si="38"/>
        <v>0.51006431427081522</v>
      </c>
      <c r="P79" s="180">
        <f t="shared" si="39"/>
        <v>2.1414913957934991</v>
      </c>
      <c r="Q79" s="180">
        <f t="shared" si="40"/>
        <v>0.38230441910929175</v>
      </c>
      <c r="R79" s="180">
        <f t="shared" si="41"/>
        <v>1.217557251908397</v>
      </c>
    </row>
    <row r="80" spans="3:18" x14ac:dyDescent="0.25">
      <c r="C80" s="177">
        <v>74</v>
      </c>
      <c r="D80" s="5">
        <f t="shared" si="42"/>
        <v>39.6</v>
      </c>
      <c r="E80" s="455">
        <f t="shared" si="29"/>
        <v>13.1</v>
      </c>
      <c r="F80" s="224">
        <f t="shared" si="30"/>
        <v>0.24857685009487665</v>
      </c>
      <c r="G80" s="179">
        <f t="shared" si="31"/>
        <v>6.4229772296015186</v>
      </c>
      <c r="H80" s="224">
        <f t="shared" si="32"/>
        <v>1.0195201951748443</v>
      </c>
      <c r="I80" s="455">
        <f t="shared" si="33"/>
        <v>52.7</v>
      </c>
      <c r="J80" s="179">
        <f t="shared" si="34"/>
        <v>0.14222376436116893</v>
      </c>
      <c r="K80" s="179">
        <f t="shared" si="35"/>
        <v>0.19753300605717905</v>
      </c>
      <c r="L80" s="179">
        <f t="shared" si="36"/>
        <v>0.59712267479880088</v>
      </c>
      <c r="M80" s="455">
        <f t="shared" si="43"/>
        <v>350</v>
      </c>
      <c r="N80" s="204">
        <f t="shared" si="37"/>
        <v>350</v>
      </c>
      <c r="O80" s="224">
        <f t="shared" si="38"/>
        <v>0.51135809162374624</v>
      </c>
      <c r="P80" s="180">
        <f t="shared" si="39"/>
        <v>2.1469232854432092</v>
      </c>
      <c r="Q80" s="180">
        <f t="shared" si="40"/>
        <v>0.38424630793738807</v>
      </c>
      <c r="R80" s="180">
        <f t="shared" si="41"/>
        <v>1.217557251908397</v>
      </c>
    </row>
    <row r="81" spans="3:18" x14ac:dyDescent="0.25">
      <c r="C81" s="177">
        <v>75</v>
      </c>
      <c r="D81" s="5">
        <f t="shared" si="42"/>
        <v>40</v>
      </c>
      <c r="E81" s="455">
        <f t="shared" si="29"/>
        <v>13.1</v>
      </c>
      <c r="F81" s="224">
        <f t="shared" si="30"/>
        <v>0.24670433145009416</v>
      </c>
      <c r="G81" s="179">
        <f t="shared" si="31"/>
        <v>6.4389830508474573</v>
      </c>
      <c r="H81" s="224">
        <f t="shared" si="32"/>
        <v>1.0220608017218187</v>
      </c>
      <c r="I81" s="455">
        <f t="shared" si="33"/>
        <v>53.1</v>
      </c>
      <c r="J81" s="179">
        <f t="shared" si="34"/>
        <v>0.1418702290076336</v>
      </c>
      <c r="K81" s="179">
        <f t="shared" si="35"/>
        <v>0.19507156488549623</v>
      </c>
      <c r="L81" s="179">
        <f t="shared" si="36"/>
        <v>0.59563836606258391</v>
      </c>
      <c r="M81" s="455">
        <f t="shared" si="43"/>
        <v>350</v>
      </c>
      <c r="N81" s="204">
        <f t="shared" si="37"/>
        <v>350</v>
      </c>
      <c r="O81" s="224">
        <f t="shared" si="38"/>
        <v>0.51263237703915665</v>
      </c>
      <c r="P81" s="180">
        <f t="shared" si="39"/>
        <v>2.1522733387140165</v>
      </c>
      <c r="Q81" s="180">
        <f t="shared" si="40"/>
        <v>0.38616374918203888</v>
      </c>
      <c r="R81" s="180">
        <f t="shared" si="41"/>
        <v>1.217557251908397</v>
      </c>
    </row>
    <row r="82" spans="3:18" x14ac:dyDescent="0.25">
      <c r="C82" s="177">
        <v>76</v>
      </c>
      <c r="D82" s="5">
        <f t="shared" si="42"/>
        <v>40.4</v>
      </c>
      <c r="E82" s="455">
        <f t="shared" si="29"/>
        <v>13.1</v>
      </c>
      <c r="F82" s="224">
        <f t="shared" si="30"/>
        <v>0.24485981308411214</v>
      </c>
      <c r="G82" s="179">
        <f t="shared" si="31"/>
        <v>6.45474953271028</v>
      </c>
      <c r="H82" s="224">
        <f t="shared" si="32"/>
        <v>1.0245634178905207</v>
      </c>
      <c r="I82" s="455">
        <f t="shared" si="33"/>
        <v>53.5</v>
      </c>
      <c r="J82" s="179">
        <f t="shared" si="34"/>
        <v>0.14152369435416826</v>
      </c>
      <c r="K82" s="179">
        <f t="shared" si="35"/>
        <v>0.19266839577918946</v>
      </c>
      <c r="L82" s="179">
        <f t="shared" si="36"/>
        <v>0.59418344957856895</v>
      </c>
      <c r="M82" s="455">
        <f t="shared" si="43"/>
        <v>350</v>
      </c>
      <c r="N82" s="204">
        <f t="shared" si="37"/>
        <v>350</v>
      </c>
      <c r="O82" s="224">
        <f t="shared" si="38"/>
        <v>0.51388760771938335</v>
      </c>
      <c r="P82" s="180">
        <f t="shared" si="39"/>
        <v>2.1575433911882507</v>
      </c>
      <c r="Q82" s="180">
        <f t="shared" si="40"/>
        <v>0.38805718414697354</v>
      </c>
      <c r="R82" s="180">
        <f t="shared" si="41"/>
        <v>1.217557251908397</v>
      </c>
    </row>
    <row r="83" spans="3:18" x14ac:dyDescent="0.25">
      <c r="C83" s="177">
        <v>77</v>
      </c>
      <c r="D83" s="5">
        <f t="shared" si="42"/>
        <v>40.799999999999997</v>
      </c>
      <c r="E83" s="455">
        <f t="shared" si="29"/>
        <v>13.1</v>
      </c>
      <c r="F83" s="224">
        <f t="shared" si="30"/>
        <v>0.24304267161410018</v>
      </c>
      <c r="G83" s="179">
        <f t="shared" si="31"/>
        <v>6.470282003710575</v>
      </c>
      <c r="H83" s="224">
        <f t="shared" si="32"/>
        <v>1.0270288894778692</v>
      </c>
      <c r="I83" s="455">
        <f t="shared" si="33"/>
        <v>53.9</v>
      </c>
      <c r="J83" s="179">
        <f t="shared" si="34"/>
        <v>0.14118395449782969</v>
      </c>
      <c r="K83" s="179">
        <f t="shared" si="35"/>
        <v>0.190321507288741</v>
      </c>
      <c r="L83" s="179">
        <f t="shared" si="36"/>
        <v>0.59275706086875057</v>
      </c>
      <c r="M83" s="455">
        <f t="shared" si="43"/>
        <v>350</v>
      </c>
      <c r="N83" s="204">
        <f t="shared" si="37"/>
        <v>350</v>
      </c>
      <c r="O83" s="224">
        <f t="shared" si="38"/>
        <v>0.51512420788858626</v>
      </c>
      <c r="P83" s="180">
        <f t="shared" si="39"/>
        <v>2.1627352239597135</v>
      </c>
      <c r="Q83" s="180">
        <f t="shared" si="40"/>
        <v>0.38992704419024704</v>
      </c>
      <c r="R83" s="180">
        <f t="shared" si="41"/>
        <v>1.217557251908397</v>
      </c>
    </row>
    <row r="84" spans="3:18" x14ac:dyDescent="0.25">
      <c r="C84" s="177">
        <v>78</v>
      </c>
      <c r="D84" s="5">
        <f t="shared" si="42"/>
        <v>41.2</v>
      </c>
      <c r="E84" s="455">
        <f t="shared" si="29"/>
        <v>13.1</v>
      </c>
      <c r="F84" s="224">
        <f t="shared" si="30"/>
        <v>0.24125230202578266</v>
      </c>
      <c r="G84" s="179">
        <f t="shared" si="31"/>
        <v>6.485585635359115</v>
      </c>
      <c r="H84" s="224">
        <f t="shared" si="32"/>
        <v>1.0294580373585898</v>
      </c>
      <c r="I84" s="455">
        <f t="shared" si="33"/>
        <v>54.300000000000004</v>
      </c>
      <c r="J84" s="179">
        <f t="shared" si="34"/>
        <v>0.14085081153190543</v>
      </c>
      <c r="K84" s="179">
        <f t="shared" si="35"/>
        <v>0.18802899597705819</v>
      </c>
      <c r="L84" s="179">
        <f t="shared" si="36"/>
        <v>0.59135836902708394</v>
      </c>
      <c r="M84" s="455">
        <f t="shared" si="43"/>
        <v>350</v>
      </c>
      <c r="N84" s="204">
        <f t="shared" si="37"/>
        <v>350</v>
      </c>
      <c r="O84" s="224">
        <f t="shared" si="38"/>
        <v>0.51634258927076604</v>
      </c>
      <c r="P84" s="180">
        <f t="shared" si="39"/>
        <v>2.1678505656406211</v>
      </c>
      <c r="Q84" s="180">
        <f t="shared" si="40"/>
        <v>0.39177375097524053</v>
      </c>
      <c r="R84" s="180">
        <f t="shared" si="41"/>
        <v>1.217557251908397</v>
      </c>
    </row>
    <row r="85" spans="3:18" x14ac:dyDescent="0.25">
      <c r="C85" s="177">
        <v>79</v>
      </c>
      <c r="D85" s="5">
        <f t="shared" si="42"/>
        <v>41.6</v>
      </c>
      <c r="E85" s="455">
        <f t="shared" si="29"/>
        <v>13.1</v>
      </c>
      <c r="F85" s="224">
        <f t="shared" si="30"/>
        <v>0.23948811700182812</v>
      </c>
      <c r="G85" s="179">
        <f t="shared" si="31"/>
        <v>6.5006654478976236</v>
      </c>
      <c r="H85" s="224">
        <f t="shared" si="32"/>
        <v>1.0318516583964483</v>
      </c>
      <c r="I85" s="455">
        <f t="shared" si="33"/>
        <v>54.7</v>
      </c>
      <c r="J85" s="179">
        <f t="shared" si="34"/>
        <v>0.14052407516147974</v>
      </c>
      <c r="K85" s="179">
        <f t="shared" si="35"/>
        <v>0.185789041679841</v>
      </c>
      <c r="L85" s="179">
        <f t="shared" si="36"/>
        <v>0.58998657510544927</v>
      </c>
      <c r="M85" s="455">
        <f t="shared" si="43"/>
        <v>350</v>
      </c>
      <c r="N85" s="204">
        <f t="shared" si="37"/>
        <v>350</v>
      </c>
      <c r="O85" s="224">
        <f t="shared" si="38"/>
        <v>0.51754315154680786</v>
      </c>
      <c r="P85" s="180">
        <f t="shared" si="39"/>
        <v>2.1728910942804913</v>
      </c>
      <c r="Q85" s="180">
        <f t="shared" si="40"/>
        <v>0.39359771671567112</v>
      </c>
      <c r="R85" s="180">
        <f t="shared" si="41"/>
        <v>1.217557251908397</v>
      </c>
    </row>
    <row r="86" spans="3:18" x14ac:dyDescent="0.25">
      <c r="C86" s="177">
        <v>80</v>
      </c>
      <c r="D86" s="5">
        <f t="shared" si="42"/>
        <v>42</v>
      </c>
      <c r="E86" s="455">
        <f t="shared" si="29"/>
        <v>13.1</v>
      </c>
      <c r="F86" s="224">
        <f t="shared" si="30"/>
        <v>0.23774954627949182</v>
      </c>
      <c r="G86" s="179">
        <f t="shared" si="31"/>
        <v>6.5155263157894732</v>
      </c>
      <c r="H86" s="224">
        <f t="shared" si="32"/>
        <v>1.0342105263157895</v>
      </c>
      <c r="I86" s="455">
        <f t="shared" si="33"/>
        <v>55.1</v>
      </c>
      <c r="J86" s="179">
        <f t="shared" si="34"/>
        <v>0.14020356234096693</v>
      </c>
      <c r="K86" s="179">
        <f t="shared" si="35"/>
        <v>0.18359990306555193</v>
      </c>
      <c r="L86" s="179">
        <f t="shared" si="36"/>
        <v>0.58864091059184587</v>
      </c>
      <c r="M86" s="455">
        <f t="shared" si="43"/>
        <v>350</v>
      </c>
      <c r="N86" s="204">
        <f t="shared" si="37"/>
        <v>350</v>
      </c>
      <c r="O86" s="224">
        <f t="shared" si="38"/>
        <v>0.51872628279161848</v>
      </c>
      <c r="P86" s="180">
        <f t="shared" si="39"/>
        <v>2.1778584392014522</v>
      </c>
      <c r="Q86" s="180">
        <f t="shared" si="40"/>
        <v>0.39539934441466384</v>
      </c>
      <c r="R86" s="180">
        <f t="shared" si="41"/>
        <v>1.217557251908397</v>
      </c>
    </row>
    <row r="87" spans="3:18" x14ac:dyDescent="0.25">
      <c r="C87" s="177">
        <v>81</v>
      </c>
      <c r="D87" s="5">
        <f t="shared" si="42"/>
        <v>42.400000000000006</v>
      </c>
      <c r="E87" s="455">
        <f t="shared" si="29"/>
        <v>13.1</v>
      </c>
      <c r="F87" s="224">
        <f t="shared" si="30"/>
        <v>0.23603603603603601</v>
      </c>
      <c r="G87" s="179">
        <f t="shared" si="31"/>
        <v>6.5301729729729727</v>
      </c>
      <c r="H87" s="224">
        <f t="shared" si="32"/>
        <v>1.0365353925353926</v>
      </c>
      <c r="I87" s="455">
        <f t="shared" si="33"/>
        <v>55.500000000000007</v>
      </c>
      <c r="J87" s="179">
        <f t="shared" si="34"/>
        <v>0.13988909693216189</v>
      </c>
      <c r="K87" s="179">
        <f t="shared" si="35"/>
        <v>0.18145991347332319</v>
      </c>
      <c r="L87" s="179">
        <f t="shared" si="36"/>
        <v>0.58732063597472561</v>
      </c>
      <c r="M87" s="455">
        <f t="shared" si="43"/>
        <v>350</v>
      </c>
      <c r="N87" s="204">
        <f t="shared" si="37"/>
        <v>350</v>
      </c>
      <c r="O87" s="224">
        <f t="shared" si="38"/>
        <v>0.51989235989235993</v>
      </c>
      <c r="P87" s="180">
        <f t="shared" si="39"/>
        <v>2.182754182754183</v>
      </c>
      <c r="Q87" s="180">
        <f t="shared" si="40"/>
        <v>0.39717902809794708</v>
      </c>
      <c r="R87" s="180">
        <f t="shared" si="41"/>
        <v>1.217557251908397</v>
      </c>
    </row>
    <row r="88" spans="3:18" x14ac:dyDescent="0.25">
      <c r="C88" s="177">
        <v>82</v>
      </c>
      <c r="D88" s="5">
        <f t="shared" si="42"/>
        <v>42.8</v>
      </c>
      <c r="E88" s="455">
        <f t="shared" si="29"/>
        <v>13.1</v>
      </c>
      <c r="F88" s="224">
        <f t="shared" si="30"/>
        <v>0.23434704830053668</v>
      </c>
      <c r="G88" s="179">
        <f t="shared" si="31"/>
        <v>6.5446100178890871</v>
      </c>
      <c r="H88" s="224">
        <f t="shared" si="32"/>
        <v>1.0388269869665219</v>
      </c>
      <c r="I88" s="455">
        <f t="shared" si="33"/>
        <v>55.9</v>
      </c>
      <c r="J88" s="179">
        <f t="shared" si="34"/>
        <v>0.13958050938146538</v>
      </c>
      <c r="K88" s="179">
        <f t="shared" si="35"/>
        <v>0.17936747700889241</v>
      </c>
      <c r="L88" s="179">
        <f t="shared" si="36"/>
        <v>0.58602503938783168</v>
      </c>
      <c r="M88" s="455">
        <f t="shared" si="43"/>
        <v>350</v>
      </c>
      <c r="N88" s="204">
        <f t="shared" si="37"/>
        <v>350</v>
      </c>
      <c r="O88" s="224">
        <f t="shared" si="38"/>
        <v>0.52104174894872568</v>
      </c>
      <c r="P88" s="180">
        <f t="shared" si="39"/>
        <v>2.1875798619984668</v>
      </c>
      <c r="Q88" s="180">
        <f t="shared" si="40"/>
        <v>0.39893715304124255</v>
      </c>
      <c r="R88" s="180">
        <f t="shared" si="41"/>
        <v>1.217557251908397</v>
      </c>
    </row>
    <row r="89" spans="3:18" x14ac:dyDescent="0.25">
      <c r="C89" s="177">
        <v>83</v>
      </c>
      <c r="D89" s="5">
        <f t="shared" si="42"/>
        <v>43.199999999999996</v>
      </c>
      <c r="E89" s="455">
        <f t="shared" si="29"/>
        <v>13.1</v>
      </c>
      <c r="F89" s="224">
        <f t="shared" si="30"/>
        <v>0.23268206039076378</v>
      </c>
      <c r="G89" s="179">
        <f t="shared" si="31"/>
        <v>6.5588419182948492</v>
      </c>
      <c r="H89" s="224">
        <f t="shared" si="32"/>
        <v>1.0410860187769602</v>
      </c>
      <c r="I89" s="455">
        <f t="shared" si="33"/>
        <v>56.3</v>
      </c>
      <c r="J89" s="179">
        <f t="shared" si="34"/>
        <v>0.13927763641504101</v>
      </c>
      <c r="K89" s="179">
        <f t="shared" si="35"/>
        <v>0.17732106488026056</v>
      </c>
      <c r="L89" s="179">
        <f t="shared" si="36"/>
        <v>0.58475343533032476</v>
      </c>
      <c r="M89" s="455">
        <f t="shared" si="43"/>
        <v>350</v>
      </c>
      <c r="N89" s="204">
        <f t="shared" si="37"/>
        <v>350</v>
      </c>
      <c r="O89" s="224">
        <f t="shared" si="38"/>
        <v>0.52217480565615548</v>
      </c>
      <c r="P89" s="180">
        <f t="shared" si="39"/>
        <v>2.1923369703121036</v>
      </c>
      <c r="Q89" s="180">
        <f t="shared" si="40"/>
        <v>0.4006740959919346</v>
      </c>
      <c r="R89" s="180">
        <f t="shared" si="41"/>
        <v>1.217557251908397</v>
      </c>
    </row>
    <row r="90" spans="3:18" x14ac:dyDescent="0.25">
      <c r="C90" s="177">
        <v>84</v>
      </c>
      <c r="D90" s="5">
        <f t="shared" si="42"/>
        <v>43.6</v>
      </c>
      <c r="E90" s="455">
        <f t="shared" si="29"/>
        <v>13.1</v>
      </c>
      <c r="F90" s="224">
        <f t="shared" si="30"/>
        <v>0.23104056437389769</v>
      </c>
      <c r="G90" s="179">
        <f t="shared" si="31"/>
        <v>6.5728730158730162</v>
      </c>
      <c r="H90" s="224">
        <f t="shared" si="32"/>
        <v>1.0433131771227011</v>
      </c>
      <c r="I90" s="455">
        <f t="shared" si="33"/>
        <v>56.7</v>
      </c>
      <c r="J90" s="179">
        <f t="shared" si="34"/>
        <v>0.13898032075075287</v>
      </c>
      <c r="K90" s="179">
        <f t="shared" si="35"/>
        <v>0.17531921195622496</v>
      </c>
      <c r="L90" s="179">
        <f t="shared" si="36"/>
        <v>0.58350516345735948</v>
      </c>
      <c r="M90" s="455">
        <f t="shared" si="43"/>
        <v>350</v>
      </c>
      <c r="N90" s="204">
        <f t="shared" si="37"/>
        <v>350</v>
      </c>
      <c r="O90" s="224">
        <f t="shared" si="38"/>
        <v>0.52329187567282798</v>
      </c>
      <c r="P90" s="180">
        <f t="shared" si="39"/>
        <v>2.1970269589317208</v>
      </c>
      <c r="Q90" s="180">
        <f t="shared" si="40"/>
        <v>0.40239022538510227</v>
      </c>
      <c r="R90" s="180">
        <f t="shared" si="41"/>
        <v>1.217557251908397</v>
      </c>
    </row>
    <row r="91" spans="3:18" x14ac:dyDescent="0.25">
      <c r="C91" s="177">
        <v>85</v>
      </c>
      <c r="D91" s="5">
        <f t="shared" si="42"/>
        <v>44</v>
      </c>
      <c r="E91" s="455">
        <f t="shared" si="29"/>
        <v>13.1</v>
      </c>
      <c r="F91" s="224">
        <f t="shared" si="30"/>
        <v>0.22942206654991243</v>
      </c>
      <c r="G91" s="179">
        <f t="shared" si="31"/>
        <v>6.5867075306479856</v>
      </c>
      <c r="H91" s="224">
        <f t="shared" si="32"/>
        <v>1.0455091318488867</v>
      </c>
      <c r="I91" s="455">
        <f t="shared" si="33"/>
        <v>57.1</v>
      </c>
      <c r="J91" s="179">
        <f t="shared" si="34"/>
        <v>0.1386884108258154</v>
      </c>
      <c r="K91" s="179">
        <f t="shared" si="35"/>
        <v>0.17336051353226925</v>
      </c>
      <c r="L91" s="179">
        <f t="shared" si="36"/>
        <v>0.58227958743662955</v>
      </c>
      <c r="M91" s="455">
        <f t="shared" si="43"/>
        <v>350</v>
      </c>
      <c r="N91" s="204">
        <f t="shared" si="37"/>
        <v>350</v>
      </c>
      <c r="O91" s="224">
        <f t="shared" si="38"/>
        <v>0.52439329497122844</v>
      </c>
      <c r="P91" s="180">
        <f t="shared" si="39"/>
        <v>2.201651238428822</v>
      </c>
      <c r="Q91" s="180">
        <f t="shared" si="40"/>
        <v>0.40408590155401153</v>
      </c>
      <c r="R91" s="180">
        <f t="shared" si="41"/>
        <v>1.217557251908397</v>
      </c>
    </row>
    <row r="92" spans="3:18" x14ac:dyDescent="0.25">
      <c r="C92" s="177">
        <v>86</v>
      </c>
      <c r="D92" s="5">
        <f t="shared" si="42"/>
        <v>44.4</v>
      </c>
      <c r="E92" s="455">
        <f t="shared" si="29"/>
        <v>13.1</v>
      </c>
      <c r="F92" s="224">
        <f t="shared" si="30"/>
        <v>0.22782608695652173</v>
      </c>
      <c r="G92" s="179">
        <f t="shared" si="31"/>
        <v>6.6003495652173916</v>
      </c>
      <c r="H92" s="224">
        <f t="shared" si="32"/>
        <v>1.0476745341614908</v>
      </c>
      <c r="I92" s="455">
        <f t="shared" si="33"/>
        <v>57.5</v>
      </c>
      <c r="J92" s="179">
        <f t="shared" si="34"/>
        <v>0.13840176053916511</v>
      </c>
      <c r="K92" s="179">
        <f t="shared" si="35"/>
        <v>0.17144362228950635</v>
      </c>
      <c r="L92" s="179">
        <f t="shared" si="36"/>
        <v>0.58107609386672376</v>
      </c>
      <c r="M92" s="455">
        <f t="shared" si="43"/>
        <v>350</v>
      </c>
      <c r="N92" s="204">
        <f t="shared" si="37"/>
        <v>350</v>
      </c>
      <c r="O92" s="224">
        <f t="shared" si="38"/>
        <v>0.5254793901750423</v>
      </c>
      <c r="P92" s="180">
        <f t="shared" si="39"/>
        <v>2.2062111801242237</v>
      </c>
      <c r="Q92" s="180">
        <f t="shared" si="40"/>
        <v>0.40576147693516312</v>
      </c>
      <c r="R92" s="180">
        <f t="shared" si="41"/>
        <v>1.217557251908397</v>
      </c>
    </row>
    <row r="93" spans="3:18" x14ac:dyDescent="0.25">
      <c r="C93" s="177">
        <v>87</v>
      </c>
      <c r="D93" s="5">
        <f t="shared" si="42"/>
        <v>44.8</v>
      </c>
      <c r="E93" s="455">
        <f t="shared" si="29"/>
        <v>13.1</v>
      </c>
      <c r="F93" s="224">
        <f t="shared" si="30"/>
        <v>0.22625215889464595</v>
      </c>
      <c r="G93" s="179">
        <f t="shared" si="31"/>
        <v>6.6138031088082903</v>
      </c>
      <c r="H93" s="224">
        <f t="shared" si="32"/>
        <v>1.0498100172711573</v>
      </c>
      <c r="I93" s="455">
        <f t="shared" si="33"/>
        <v>57.9</v>
      </c>
      <c r="J93" s="179">
        <f t="shared" si="34"/>
        <v>0.13812022900763357</v>
      </c>
      <c r="K93" s="179">
        <f t="shared" si="35"/>
        <v>0.16956724543347873</v>
      </c>
      <c r="L93" s="179">
        <f t="shared" si="36"/>
        <v>0.57989409125342339</v>
      </c>
      <c r="M93" s="455">
        <f t="shared" si="43"/>
        <v>350</v>
      </c>
      <c r="N93" s="204">
        <f t="shared" si="37"/>
        <v>350</v>
      </c>
      <c r="O93" s="224">
        <f t="shared" si="38"/>
        <v>0.52655047888208506</v>
      </c>
      <c r="P93" s="180">
        <f t="shared" si="39"/>
        <v>2.2107081174438687</v>
      </c>
      <c r="Q93" s="180">
        <f t="shared" si="40"/>
        <v>0.40741729626800366</v>
      </c>
      <c r="R93" s="180">
        <f t="shared" si="41"/>
        <v>1.217557251908397</v>
      </c>
    </row>
    <row r="94" spans="3:18" x14ac:dyDescent="0.25">
      <c r="C94" s="177">
        <v>88</v>
      </c>
      <c r="D94" s="5">
        <f t="shared" si="42"/>
        <v>45.2</v>
      </c>
      <c r="E94" s="455">
        <f t="shared" si="29"/>
        <v>13.1</v>
      </c>
      <c r="F94" s="224">
        <f t="shared" si="30"/>
        <v>0.22469982847341335</v>
      </c>
      <c r="G94" s="179">
        <f t="shared" si="31"/>
        <v>6.6270720411663797</v>
      </c>
      <c r="H94" s="224">
        <f t="shared" si="32"/>
        <v>1.0519161970105364</v>
      </c>
      <c r="I94" s="455">
        <f t="shared" si="33"/>
        <v>58.300000000000004</v>
      </c>
      <c r="J94" s="179">
        <f t="shared" si="34"/>
        <v>0.13784368033506722</v>
      </c>
      <c r="K94" s="179">
        <f t="shared" si="35"/>
        <v>0.16773014200063488</v>
      </c>
      <c r="L94" s="179">
        <f t="shared" si="36"/>
        <v>0.57873300904035851</v>
      </c>
      <c r="M94" s="455">
        <f t="shared" si="43"/>
        <v>350</v>
      </c>
      <c r="N94" s="204">
        <f t="shared" si="37"/>
        <v>350</v>
      </c>
      <c r="O94" s="224">
        <f t="shared" si="38"/>
        <v>0.52760686997393691</v>
      </c>
      <c r="P94" s="180">
        <f t="shared" si="39"/>
        <v>2.2151433472188189</v>
      </c>
      <c r="Q94" s="180">
        <f t="shared" si="40"/>
        <v>0.40905369678939879</v>
      </c>
      <c r="R94" s="180">
        <f t="shared" si="41"/>
        <v>1.217557251908397</v>
      </c>
    </row>
    <row r="95" spans="3:18" x14ac:dyDescent="0.25">
      <c r="C95" s="177">
        <v>89</v>
      </c>
      <c r="D95" s="5">
        <f t="shared" si="42"/>
        <v>45.6</v>
      </c>
      <c r="E95" s="455">
        <f t="shared" si="29"/>
        <v>13.1</v>
      </c>
      <c r="F95" s="224">
        <f t="shared" si="30"/>
        <v>0.22316865417376489</v>
      </c>
      <c r="G95" s="179">
        <f t="shared" si="31"/>
        <v>6.6401601362862008</v>
      </c>
      <c r="H95" s="224">
        <f t="shared" si="32"/>
        <v>1.0539936724263812</v>
      </c>
      <c r="I95" s="455">
        <f t="shared" si="33"/>
        <v>58.7</v>
      </c>
      <c r="J95" s="179">
        <f t="shared" si="34"/>
        <v>0.1375719833935985</v>
      </c>
      <c r="K95" s="179">
        <f t="shared" si="35"/>
        <v>0.16593112032122626</v>
      </c>
      <c r="L95" s="179">
        <f t="shared" si="36"/>
        <v>0.5775922966906808</v>
      </c>
      <c r="M95" s="455">
        <f t="shared" si="43"/>
        <v>350</v>
      </c>
      <c r="N95" s="204">
        <f t="shared" si="37"/>
        <v>350</v>
      </c>
      <c r="O95" s="224">
        <f t="shared" si="38"/>
        <v>0.52864886391291843</v>
      </c>
      <c r="P95" s="180">
        <f t="shared" si="39"/>
        <v>2.2195181309321006</v>
      </c>
      <c r="Q95" s="180">
        <f t="shared" si="40"/>
        <v>0.41067100842298271</v>
      </c>
      <c r="R95" s="180">
        <f t="shared" si="41"/>
        <v>1.217557251908397</v>
      </c>
    </row>
    <row r="96" spans="3:18" x14ac:dyDescent="0.25">
      <c r="C96" s="177">
        <v>90</v>
      </c>
      <c r="D96" s="5">
        <f t="shared" si="42"/>
        <v>46</v>
      </c>
      <c r="E96" s="455">
        <f t="shared" si="29"/>
        <v>13.1</v>
      </c>
      <c r="F96" s="224">
        <f t="shared" si="30"/>
        <v>0.22165820642978001</v>
      </c>
      <c r="G96" s="179">
        <f t="shared" si="31"/>
        <v>6.6530710659898462</v>
      </c>
      <c r="H96" s="224">
        <f t="shared" si="32"/>
        <v>1.0560430263475946</v>
      </c>
      <c r="I96" s="455">
        <f t="shared" si="33"/>
        <v>59.1</v>
      </c>
      <c r="J96" s="179">
        <f t="shared" si="34"/>
        <v>0.13730501161632927</v>
      </c>
      <c r="K96" s="179">
        <f t="shared" si="35"/>
        <v>0.1641690356282198</v>
      </c>
      <c r="L96" s="179">
        <f t="shared" si="36"/>
        <v>0.57647142281664965</v>
      </c>
      <c r="M96" s="455">
        <f t="shared" si="43"/>
        <v>350</v>
      </c>
      <c r="N96" s="204">
        <f t="shared" si="37"/>
        <v>350</v>
      </c>
      <c r="O96" s="224">
        <f t="shared" si="38"/>
        <v>0.52967675302700679</v>
      </c>
      <c r="P96" s="180">
        <f t="shared" si="39"/>
        <v>2.2238336959149145</v>
      </c>
      <c r="Q96" s="180">
        <f t="shared" si="40"/>
        <v>0.41226955396349096</v>
      </c>
      <c r="R96" s="180">
        <f t="shared" si="41"/>
        <v>1.217557251908397</v>
      </c>
    </row>
    <row r="97" spans="3:18" x14ac:dyDescent="0.25">
      <c r="C97" s="177">
        <v>91</v>
      </c>
      <c r="D97" s="5">
        <f t="shared" si="42"/>
        <v>46.4</v>
      </c>
      <c r="E97" s="455">
        <f t="shared" si="29"/>
        <v>13.1</v>
      </c>
      <c r="F97" s="224">
        <f t="shared" si="30"/>
        <v>0.22016806722689075</v>
      </c>
      <c r="G97" s="179">
        <f t="shared" si="31"/>
        <v>6.6658084033613436</v>
      </c>
      <c r="H97" s="224">
        <f t="shared" si="32"/>
        <v>1.058064825930372</v>
      </c>
      <c r="I97" s="455">
        <f t="shared" si="33"/>
        <v>59.5</v>
      </c>
      <c r="J97" s="179">
        <f t="shared" si="34"/>
        <v>0.13704264280073705</v>
      </c>
      <c r="K97" s="179">
        <f t="shared" si="35"/>
        <v>0.1624427878025978</v>
      </c>
      <c r="L97" s="179">
        <f t="shared" si="36"/>
        <v>0.57536987435423959</v>
      </c>
      <c r="M97" s="455">
        <f t="shared" si="43"/>
        <v>350</v>
      </c>
      <c r="N97" s="204">
        <f t="shared" si="37"/>
        <v>350</v>
      </c>
      <c r="O97" s="224">
        <f t="shared" si="38"/>
        <v>0.53069082178325877</v>
      </c>
      <c r="P97" s="180">
        <f t="shared" si="39"/>
        <v>2.2280912364945982</v>
      </c>
      <c r="Q97" s="180">
        <f t="shared" si="40"/>
        <v>0.41384964925618839</v>
      </c>
      <c r="R97" s="180">
        <f t="shared" si="41"/>
        <v>1.217557251908397</v>
      </c>
    </row>
    <row r="98" spans="3:18" x14ac:dyDescent="0.25">
      <c r="C98" s="177">
        <v>92</v>
      </c>
      <c r="D98" s="5">
        <f t="shared" si="42"/>
        <v>46.800000000000004</v>
      </c>
      <c r="E98" s="455">
        <f t="shared" si="29"/>
        <v>13.1</v>
      </c>
      <c r="F98" s="224">
        <f t="shared" si="30"/>
        <v>0.21869782971619364</v>
      </c>
      <c r="G98" s="179">
        <f t="shared" si="31"/>
        <v>6.6783756260434055</v>
      </c>
      <c r="H98" s="224">
        <f t="shared" si="32"/>
        <v>1.0600596231814929</v>
      </c>
      <c r="I98" s="455">
        <f t="shared" si="33"/>
        <v>59.900000000000006</v>
      </c>
      <c r="J98" s="179">
        <f t="shared" si="34"/>
        <v>0.13678475892216349</v>
      </c>
      <c r="K98" s="179">
        <f t="shared" si="35"/>
        <v>0.16075131924613228</v>
      </c>
      <c r="L98" s="179">
        <f t="shared" si="36"/>
        <v>0.57428715578007583</v>
      </c>
      <c r="M98" s="455">
        <f t="shared" si="43"/>
        <v>350</v>
      </c>
      <c r="N98" s="204">
        <f t="shared" si="37"/>
        <v>350</v>
      </c>
      <c r="O98" s="224">
        <f t="shared" si="38"/>
        <v>0.53169134705027865</v>
      </c>
      <c r="P98" s="180">
        <f t="shared" si="39"/>
        <v>2.2322919150965901</v>
      </c>
      <c r="Q98" s="180">
        <f t="shared" si="40"/>
        <v>0.41541160337150329</v>
      </c>
      <c r="R98" s="180">
        <f t="shared" si="41"/>
        <v>1.217557251908397</v>
      </c>
    </row>
    <row r="99" spans="3:18" x14ac:dyDescent="0.25">
      <c r="C99" s="177">
        <v>93</v>
      </c>
      <c r="D99" s="5">
        <f t="shared" si="42"/>
        <v>47.2</v>
      </c>
      <c r="E99" s="455">
        <f t="shared" si="29"/>
        <v>13.1</v>
      </c>
      <c r="F99" s="224">
        <f t="shared" si="30"/>
        <v>0.21724709784411275</v>
      </c>
      <c r="G99" s="179">
        <f t="shared" si="31"/>
        <v>6.6907761194029849</v>
      </c>
      <c r="H99" s="224">
        <f t="shared" si="32"/>
        <v>1.0620279554607912</v>
      </c>
      <c r="I99" s="455">
        <f t="shared" si="33"/>
        <v>60.300000000000004</v>
      </c>
      <c r="J99" s="179">
        <f t="shared" si="34"/>
        <v>0.13653124595678612</v>
      </c>
      <c r="K99" s="179">
        <f t="shared" si="35"/>
        <v>0.15909361287337365</v>
      </c>
      <c r="L99" s="179">
        <f t="shared" si="36"/>
        <v>0.57322278836818596</v>
      </c>
      <c r="M99" s="455">
        <f t="shared" si="43"/>
        <v>350</v>
      </c>
      <c r="N99" s="204">
        <f t="shared" si="37"/>
        <v>350</v>
      </c>
      <c r="O99" s="224">
        <f t="shared" si="38"/>
        <v>0.53267859835024012</v>
      </c>
      <c r="P99" s="180">
        <f t="shared" si="39"/>
        <v>2.2364368633025351</v>
      </c>
      <c r="Q99" s="180">
        <f t="shared" si="40"/>
        <v>0.41695571877498072</v>
      </c>
      <c r="R99" s="180">
        <f t="shared" si="41"/>
        <v>1.217557251908397</v>
      </c>
    </row>
    <row r="100" spans="3:18" x14ac:dyDescent="0.25">
      <c r="C100" s="177">
        <v>94</v>
      </c>
      <c r="D100" s="5">
        <f t="shared" si="42"/>
        <v>47.599999999999994</v>
      </c>
      <c r="E100" s="455">
        <f t="shared" si="29"/>
        <v>13.1</v>
      </c>
      <c r="F100" s="224">
        <f t="shared" si="30"/>
        <v>0.21581548599670511</v>
      </c>
      <c r="G100" s="179">
        <f t="shared" si="31"/>
        <v>6.7030131795716636</v>
      </c>
      <c r="H100" s="224">
        <f t="shared" si="32"/>
        <v>1.0639703459637562</v>
      </c>
      <c r="I100" s="455">
        <f t="shared" si="33"/>
        <v>60.699999999999996</v>
      </c>
      <c r="J100" s="179">
        <f t="shared" si="34"/>
        <v>0.13628199371351593</v>
      </c>
      <c r="K100" s="179">
        <f t="shared" si="35"/>
        <v>0.15746869021519702</v>
      </c>
      <c r="L100" s="179">
        <f t="shared" si="36"/>
        <v>0.57217630948422715</v>
      </c>
      <c r="M100" s="455">
        <f t="shared" si="43"/>
        <v>350</v>
      </c>
      <c r="N100" s="204">
        <f t="shared" si="37"/>
        <v>350</v>
      </c>
      <c r="O100" s="224">
        <f t="shared" si="38"/>
        <v>0.53365283810094355</v>
      </c>
      <c r="P100" s="180">
        <f t="shared" si="39"/>
        <v>2.2405271828665572</v>
      </c>
      <c r="Q100" s="180">
        <f t="shared" si="40"/>
        <v>0.41848229149266752</v>
      </c>
      <c r="R100" s="180">
        <f t="shared" si="41"/>
        <v>1.217557251908397</v>
      </c>
    </row>
    <row r="101" spans="3:18" x14ac:dyDescent="0.25">
      <c r="C101" s="177">
        <v>95</v>
      </c>
      <c r="D101" s="5">
        <f t="shared" si="42"/>
        <v>48</v>
      </c>
      <c r="E101" s="455">
        <f t="shared" si="29"/>
        <v>13.1</v>
      </c>
      <c r="F101" s="224">
        <f t="shared" si="30"/>
        <v>0.2144026186579378</v>
      </c>
      <c r="G101" s="179">
        <f t="shared" si="31"/>
        <v>6.715090016366613</v>
      </c>
      <c r="H101" s="224">
        <f t="shared" si="32"/>
        <v>1.0658873041851766</v>
      </c>
      <c r="I101" s="455">
        <f t="shared" si="33"/>
        <v>61.1</v>
      </c>
      <c r="J101" s="179">
        <f t="shared" si="34"/>
        <v>0.13603689567430027</v>
      </c>
      <c r="K101" s="179">
        <f t="shared" si="35"/>
        <v>0.15587560962680239</v>
      </c>
      <c r="L101" s="179">
        <f t="shared" si="36"/>
        <v>0.57114727191500114</v>
      </c>
      <c r="M101" s="455">
        <f t="shared" si="43"/>
        <v>350</v>
      </c>
      <c r="N101" s="204">
        <f t="shared" si="37"/>
        <v>350</v>
      </c>
      <c r="O101" s="224">
        <f t="shared" si="38"/>
        <v>0.53461432184836444</v>
      </c>
      <c r="P101" s="180">
        <f t="shared" si="39"/>
        <v>2.2445639466916067</v>
      </c>
      <c r="Q101" s="180">
        <f t="shared" si="40"/>
        <v>0.41999161127203755</v>
      </c>
      <c r="R101" s="180">
        <f t="shared" si="41"/>
        <v>1.217557251908397</v>
      </c>
    </row>
    <row r="102" spans="3:18" x14ac:dyDescent="0.25">
      <c r="C102" s="177">
        <v>96</v>
      </c>
      <c r="D102" s="5">
        <f t="shared" si="42"/>
        <v>48.4</v>
      </c>
      <c r="E102" s="455">
        <f t="shared" si="29"/>
        <v>13.1</v>
      </c>
      <c r="F102" s="224">
        <f t="shared" si="30"/>
        <v>0.21300813008130082</v>
      </c>
      <c r="G102" s="179">
        <f t="shared" ref="G102:G106" si="44">F102*D102*Isw_max*0.5*Efficiency</f>
        <v>6.7270097560975604</v>
      </c>
      <c r="H102" s="224">
        <f t="shared" ref="H102:H106" si="45">G102/Vout</f>
        <v>1.0677793263646922</v>
      </c>
      <c r="I102" s="455">
        <f t="shared" si="33"/>
        <v>61.5</v>
      </c>
      <c r="J102" s="179">
        <f t="shared" si="34"/>
        <v>0.13579584884234433</v>
      </c>
      <c r="K102" s="179">
        <f t="shared" ref="K102:K106" si="46">L*J102/D102*1000000</f>
        <v>0.15431346459357312</v>
      </c>
      <c r="L102" s="179">
        <f t="shared" si="36"/>
        <v>0.57013524323121667</v>
      </c>
      <c r="M102" s="455">
        <f t="shared" si="43"/>
        <v>350</v>
      </c>
      <c r="N102" s="204">
        <f t="shared" si="37"/>
        <v>350</v>
      </c>
      <c r="O102" s="224">
        <f t="shared" ref="O102:O106" si="47">1/((N102*1000*L)*(1/D102+1/E102))</f>
        <v>0.53556329849012774</v>
      </c>
      <c r="P102" s="180">
        <f t="shared" ref="P102:P106" si="48">L*O102/E102*1000000</f>
        <v>2.2485481997677117</v>
      </c>
      <c r="Q102" s="180">
        <f t="shared" ref="Q102:Q106" si="49">0.5*P102*O102*Nps*N102/1000</f>
        <v>0.421483961738572</v>
      </c>
      <c r="R102" s="180">
        <f t="shared" si="41"/>
        <v>1.217557251908397</v>
      </c>
    </row>
    <row r="103" spans="3:18" x14ac:dyDescent="0.25">
      <c r="C103" s="177">
        <v>97</v>
      </c>
      <c r="D103" s="5">
        <f t="shared" ref="D103:D106" si="50">C103/100*(VIN_max-VIN_min)+VIN_min</f>
        <v>48.8</v>
      </c>
      <c r="E103" s="455">
        <f t="shared" si="29"/>
        <v>13.1</v>
      </c>
      <c r="F103" s="224">
        <f t="shared" si="30"/>
        <v>0.21163166397415187</v>
      </c>
      <c r="G103" s="179">
        <f t="shared" si="44"/>
        <v>6.7387754442649435</v>
      </c>
      <c r="H103" s="224">
        <f t="shared" si="45"/>
        <v>1.0696468959150705</v>
      </c>
      <c r="I103" s="455">
        <f t="shared" si="33"/>
        <v>61.9</v>
      </c>
      <c r="J103" s="179">
        <f t="shared" si="34"/>
        <v>0.13555875359779751</v>
      </c>
      <c r="K103" s="179">
        <f t="shared" si="46"/>
        <v>0.15278138212866524</v>
      </c>
      <c r="L103" s="179">
        <f t="shared" si="36"/>
        <v>0.56913980518159257</v>
      </c>
      <c r="M103" s="455">
        <f t="shared" si="43"/>
        <v>350</v>
      </c>
      <c r="N103" s="204">
        <f t="shared" si="37"/>
        <v>350</v>
      </c>
      <c r="O103" s="224">
        <f t="shared" si="47"/>
        <v>0.53650001049031737</v>
      </c>
      <c r="P103" s="180">
        <f t="shared" si="48"/>
        <v>2.2524809600738518</v>
      </c>
      <c r="Q103" s="180">
        <f t="shared" si="49"/>
        <v>0.42295962054810154</v>
      </c>
      <c r="R103" s="180">
        <f t="shared" si="41"/>
        <v>1.217557251908397</v>
      </c>
    </row>
    <row r="104" spans="3:18" x14ac:dyDescent="0.25">
      <c r="C104" s="177">
        <v>98</v>
      </c>
      <c r="D104" s="5">
        <f t="shared" si="50"/>
        <v>49.2</v>
      </c>
      <c r="E104" s="455">
        <f t="shared" si="29"/>
        <v>13.1</v>
      </c>
      <c r="F104" s="224">
        <f t="shared" si="30"/>
        <v>0.2102728731942215</v>
      </c>
      <c r="G104" s="179">
        <f t="shared" si="44"/>
        <v>6.7503900481540926</v>
      </c>
      <c r="H104" s="224">
        <f t="shared" si="45"/>
        <v>1.0714904838339829</v>
      </c>
      <c r="I104" s="455">
        <f t="shared" si="33"/>
        <v>62.300000000000004</v>
      </c>
      <c r="J104" s="179">
        <f t="shared" si="34"/>
        <v>0.13532551356047912</v>
      </c>
      <c r="K104" s="179">
        <f t="shared" si="46"/>
        <v>0.15127852125663316</v>
      </c>
      <c r="L104" s="179">
        <f t="shared" si="36"/>
        <v>0.56816055311651537</v>
      </c>
      <c r="M104" s="455">
        <f t="shared" si="43"/>
        <v>350</v>
      </c>
      <c r="N104" s="204">
        <f t="shared" si="37"/>
        <v>350</v>
      </c>
      <c r="O104" s="224">
        <f t="shared" si="47"/>
        <v>0.53742469408601024</v>
      </c>
      <c r="P104" s="180">
        <f t="shared" si="48"/>
        <v>2.2563632194450811</v>
      </c>
      <c r="Q104" s="180">
        <f t="shared" si="49"/>
        <v>0.42441885953501929</v>
      </c>
      <c r="R104" s="180">
        <f t="shared" si="41"/>
        <v>1.217557251908397</v>
      </c>
    </row>
    <row r="105" spans="3:18" x14ac:dyDescent="0.25">
      <c r="C105" s="177">
        <v>99</v>
      </c>
      <c r="D105" s="5">
        <f t="shared" si="50"/>
        <v>49.6</v>
      </c>
      <c r="E105" s="455">
        <f t="shared" si="29"/>
        <v>13.1</v>
      </c>
      <c r="F105" s="224">
        <f t="shared" si="30"/>
        <v>0.20893141945773525</v>
      </c>
      <c r="G105" s="179">
        <f t="shared" si="44"/>
        <v>6.7618564593301436</v>
      </c>
      <c r="H105" s="224">
        <f t="shared" si="45"/>
        <v>1.0733105491000228</v>
      </c>
      <c r="I105" s="455">
        <f t="shared" si="33"/>
        <v>62.7</v>
      </c>
      <c r="J105" s="179">
        <f t="shared" si="34"/>
        <v>0.13509603545924648</v>
      </c>
      <c r="K105" s="179">
        <f t="shared" si="46"/>
        <v>0.14980407157779346</v>
      </c>
      <c r="L105" s="179">
        <f t="shared" si="36"/>
        <v>0.56719709543958452</v>
      </c>
      <c r="M105" s="455">
        <f t="shared" si="43"/>
        <v>350</v>
      </c>
      <c r="N105" s="204">
        <f t="shared" si="37"/>
        <v>350</v>
      </c>
      <c r="O105" s="224">
        <f t="shared" si="47"/>
        <v>0.53833757948590488</v>
      </c>
      <c r="P105" s="180">
        <f t="shared" si="48"/>
        <v>2.2601959444064712</v>
      </c>
      <c r="Q105" s="180">
        <f t="shared" si="49"/>
        <v>0.4258619448564735</v>
      </c>
      <c r="R105" s="180">
        <f t="shared" si="41"/>
        <v>1.217557251908397</v>
      </c>
    </row>
    <row r="106" spans="3:18" x14ac:dyDescent="0.25">
      <c r="C106" s="177">
        <v>100</v>
      </c>
      <c r="D106" s="5">
        <f t="shared" si="50"/>
        <v>50</v>
      </c>
      <c r="E106" s="455">
        <f t="shared" si="29"/>
        <v>13.1</v>
      </c>
      <c r="F106" s="224">
        <f t="shared" si="30"/>
        <v>0.20760697305863707</v>
      </c>
      <c r="G106" s="179">
        <f t="shared" si="44"/>
        <v>6.7731774960380342</v>
      </c>
      <c r="H106" s="224">
        <f t="shared" si="45"/>
        <v>1.0751075390536562</v>
      </c>
      <c r="I106" s="455">
        <f t="shared" si="33"/>
        <v>63.1</v>
      </c>
      <c r="J106" s="179">
        <f t="shared" si="34"/>
        <v>0.1348702290076336</v>
      </c>
      <c r="K106" s="179">
        <f t="shared" si="46"/>
        <v>0.14835725190839696</v>
      </c>
      <c r="L106" s="179">
        <f t="shared" si="36"/>
        <v>0.56624905308548457</v>
      </c>
      <c r="M106" s="455">
        <f t="shared" si="43"/>
        <v>350</v>
      </c>
      <c r="N106" s="204">
        <f t="shared" si="37"/>
        <v>350</v>
      </c>
      <c r="O106" s="224">
        <f t="shared" si="47"/>
        <v>0.539238891061395</v>
      </c>
      <c r="P106" s="180">
        <f t="shared" si="48"/>
        <v>2.2639800769753222</v>
      </c>
      <c r="Q106" s="180">
        <f t="shared" si="49"/>
        <v>0.42728913713264249</v>
      </c>
      <c r="R106" s="180">
        <f t="shared" si="41"/>
        <v>1.217557251908397</v>
      </c>
    </row>
  </sheetData>
  <mergeCells count="1">
    <mergeCell ref="F4:O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133"/>
  <sheetViews>
    <sheetView showWhiteSpace="0" zoomScaleNormal="100" workbookViewId="0">
      <pane ySplit="5" topLeftCell="A6" activePane="bottomLeft" state="frozen"/>
      <selection pane="bottomLeft" activeCell="E54" sqref="E54"/>
    </sheetView>
  </sheetViews>
  <sheetFormatPr defaultColWidth="9.109375" defaultRowHeight="13.2" x14ac:dyDescent="0.25"/>
  <cols>
    <col min="1" max="1" width="15.6640625" style="177" customWidth="1"/>
    <col min="2" max="2" width="11.5546875" style="177" customWidth="1"/>
    <col min="3" max="3" width="9.109375" style="177"/>
    <col min="4" max="4" width="12.44140625" style="177" bestFit="1" customWidth="1"/>
    <col min="5" max="5" width="51.44140625" style="177" customWidth="1"/>
    <col min="6" max="6" width="13.44140625" style="177" customWidth="1"/>
    <col min="7" max="7" width="10" style="177" customWidth="1"/>
    <col min="8" max="8" width="6.88671875" style="177" customWidth="1"/>
    <col min="9" max="9" width="12.44140625" style="177" bestFit="1" customWidth="1"/>
    <col min="10" max="10" width="9.109375" style="223" customWidth="1"/>
    <col min="11" max="11" width="8.88671875"/>
    <col min="13" max="13" width="10.88671875" customWidth="1"/>
    <col min="14" max="14" width="12" style="177" customWidth="1"/>
    <col min="15" max="15" width="12.6640625" style="223" customWidth="1"/>
    <col min="16" max="16" width="11.44140625" style="223" customWidth="1"/>
    <col min="17" max="17" width="12.44140625" style="223" customWidth="1"/>
    <col min="18" max="19" width="10.5546875" style="204" customWidth="1"/>
    <col min="20" max="20" width="10" style="204" customWidth="1"/>
    <col min="21" max="21" width="10.5546875" style="204" customWidth="1"/>
    <col min="22" max="22" width="8.44140625" style="223" customWidth="1"/>
    <col min="23" max="23" width="9.33203125" style="223" customWidth="1"/>
    <col min="24" max="24" width="9.44140625" style="177" customWidth="1"/>
    <col min="25" max="25" width="9.44140625" style="223" customWidth="1"/>
    <col min="26" max="26" width="8.33203125" style="224" customWidth="1"/>
    <col min="27" max="27" width="9.5546875" style="223" customWidth="1"/>
    <col min="28" max="28" width="9.44140625" style="223" bestFit="1" customWidth="1"/>
    <col min="29" max="29" width="8.5546875" style="223" customWidth="1"/>
    <col min="30" max="30" width="9.6640625" style="225" customWidth="1"/>
    <col min="31" max="31" width="9.109375" style="225" customWidth="1"/>
    <col min="32" max="32" width="8.109375" style="223" customWidth="1"/>
    <col min="33" max="33" width="10.33203125" style="223" customWidth="1"/>
    <col min="34" max="34" width="9.44140625" style="223" customWidth="1"/>
    <col min="35" max="35" width="8.88671875"/>
    <col min="36" max="36" width="9.6640625" style="223" customWidth="1"/>
    <col min="37" max="37" width="11.5546875" style="223" customWidth="1"/>
    <col min="38" max="38" width="10.109375" style="223" customWidth="1"/>
    <col min="39" max="39" width="11.109375" style="223" customWidth="1"/>
    <col min="40" max="40" width="9.109375" style="223"/>
    <col min="41" max="41" width="10.33203125" style="223" customWidth="1"/>
    <col min="42" max="42" width="9.88671875" style="223" customWidth="1"/>
    <col min="43" max="43" width="9.6640625" style="223" customWidth="1"/>
    <col min="44" max="44" width="10.33203125" style="223" customWidth="1"/>
    <col min="45" max="45" width="10.109375" style="223" customWidth="1"/>
    <col min="46" max="46" width="10.44140625" style="223" customWidth="1"/>
    <col min="47" max="47" width="11.33203125" style="223" customWidth="1"/>
    <col min="48" max="48" width="11.6640625" style="223" customWidth="1"/>
    <col min="49" max="49" width="10.44140625" style="223" customWidth="1"/>
    <col min="50" max="50" width="11.44140625" style="223" customWidth="1"/>
    <col min="51" max="51" width="10.109375" style="223" customWidth="1"/>
    <col min="52" max="52" width="10" style="179" bestFit="1" customWidth="1"/>
    <col min="53" max="55" width="12.6640625" style="352" customWidth="1"/>
    <col min="56" max="56" width="14" style="352" customWidth="1"/>
    <col min="57" max="57" width="12.88671875" style="352" customWidth="1"/>
    <col min="58" max="58" width="10.44140625" style="352" customWidth="1"/>
    <col min="59" max="59" width="9" style="352" customWidth="1"/>
    <col min="60" max="60" width="8.88671875" style="352" customWidth="1"/>
    <col min="61" max="61" width="10.88671875" style="352" customWidth="1"/>
    <col min="62" max="62" width="11.109375" style="352" customWidth="1"/>
    <col min="63" max="64" width="9.109375" style="352"/>
    <col min="65" max="65" width="8.88671875" style="179" customWidth="1"/>
    <col min="66" max="66" width="9.109375" style="224"/>
    <col min="67" max="67" width="12.5546875" style="177" customWidth="1"/>
    <col min="68" max="68" width="13.5546875" style="179" customWidth="1"/>
    <col min="69" max="69" width="12.6640625" style="204" customWidth="1"/>
    <col min="70" max="70" width="3.6640625" style="177" customWidth="1"/>
    <col min="71" max="71" width="12.44140625" style="177" bestFit="1" customWidth="1"/>
    <col min="72" max="72" width="3.5546875" style="177" customWidth="1"/>
    <col min="73" max="73" width="9.109375" style="179"/>
    <col min="74" max="74" width="11.109375" style="179" customWidth="1"/>
    <col min="75" max="75" width="9.109375" style="179"/>
    <col min="76" max="76" width="4.6640625" style="177" customWidth="1"/>
    <col min="77" max="77" width="3.6640625" style="177" customWidth="1"/>
    <col min="78" max="78" width="12.44140625" style="177" customWidth="1"/>
    <col min="79" max="79" width="11.88671875" style="177" customWidth="1"/>
    <col min="80" max="80" width="11.5546875" style="177" customWidth="1"/>
    <col min="81" max="81" width="11.6640625" style="177" customWidth="1"/>
    <col min="82" max="82" width="9.109375" style="177"/>
    <col min="83" max="83" width="9.109375" style="177" customWidth="1"/>
    <col min="84" max="16384" width="9.109375" style="177"/>
  </cols>
  <sheetData>
    <row r="1" spans="1:81" x14ac:dyDescent="0.25">
      <c r="A1" s="691" t="s">
        <v>521</v>
      </c>
      <c r="B1" s="691"/>
      <c r="C1" s="691"/>
      <c r="D1" s="691"/>
      <c r="E1" s="691"/>
    </row>
    <row r="2" spans="1:81" ht="15.6" x14ac:dyDescent="0.25">
      <c r="A2" s="691"/>
      <c r="B2" s="691"/>
      <c r="C2" s="691"/>
      <c r="D2" s="691"/>
      <c r="E2" s="691"/>
      <c r="G2" s="692" t="s">
        <v>22</v>
      </c>
      <c r="H2" s="692"/>
      <c r="AF2" s="223">
        <v>1.9257738538542499E-2</v>
      </c>
      <c r="AG2" s="223">
        <v>7.417209872377299E-4</v>
      </c>
      <c r="AH2" s="223">
        <v>1.2403450565440797E-3</v>
      </c>
      <c r="AI2">
        <v>20</v>
      </c>
      <c r="AJ2" s="223">
        <v>7.1523178807947021</v>
      </c>
      <c r="AK2" s="223">
        <v>0</v>
      </c>
      <c r="AL2" s="223">
        <v>8.3629954314142624E-4</v>
      </c>
      <c r="AM2" s="223">
        <v>1.5780205303791562E-3</v>
      </c>
      <c r="AO2" s="275" t="e">
        <f>Ifb</f>
        <v>#NAME?</v>
      </c>
    </row>
    <row r="3" spans="1:81" ht="13.8" thickBot="1" x14ac:dyDescent="0.3">
      <c r="A3" s="691"/>
      <c r="B3" s="691"/>
      <c r="C3" s="691"/>
      <c r="D3" s="691"/>
      <c r="E3" s="691"/>
    </row>
    <row r="4" spans="1:81" ht="13.8" thickBot="1" x14ac:dyDescent="0.3">
      <c r="A4" s="693"/>
      <c r="B4" s="693"/>
      <c r="C4" s="693"/>
      <c r="D4" s="693"/>
      <c r="E4" s="693"/>
      <c r="H4" s="227" t="s">
        <v>23</v>
      </c>
      <c r="I4" s="228"/>
      <c r="J4" s="229"/>
      <c r="K4" s="694" t="s">
        <v>190</v>
      </c>
      <c r="L4" s="687"/>
      <c r="M4" s="688"/>
      <c r="N4" s="688"/>
      <c r="O4" s="688"/>
      <c r="P4" s="687"/>
      <c r="Q4" s="687"/>
      <c r="R4" s="688"/>
      <c r="S4" s="688"/>
      <c r="T4" s="688"/>
      <c r="U4" s="690"/>
      <c r="V4" s="230" t="s">
        <v>191</v>
      </c>
      <c r="W4" s="231"/>
      <c r="X4" s="232"/>
      <c r="Y4" s="233"/>
      <c r="Z4" s="234" t="s">
        <v>14</v>
      </c>
      <c r="AA4" s="235"/>
      <c r="AB4" s="229"/>
      <c r="AC4" s="236" t="s">
        <v>28</v>
      </c>
      <c r="AD4" s="237"/>
      <c r="AE4" s="238"/>
      <c r="AF4" s="230" t="s">
        <v>192</v>
      </c>
      <c r="AG4" s="231"/>
      <c r="AH4" s="231"/>
      <c r="AI4" s="454"/>
      <c r="AJ4" s="454"/>
      <c r="AK4" s="231"/>
      <c r="AL4" s="231"/>
      <c r="AM4" s="229"/>
      <c r="AN4" s="239" t="s">
        <v>193</v>
      </c>
      <c r="AO4" s="240"/>
      <c r="AP4" s="240"/>
      <c r="AQ4" s="463" t="s">
        <v>194</v>
      </c>
      <c r="AR4" s="464"/>
      <c r="AS4" s="464"/>
      <c r="AT4" s="240"/>
      <c r="AU4" s="241"/>
      <c r="AV4" s="242"/>
      <c r="AW4" s="243"/>
      <c r="AX4" s="230" t="s">
        <v>180</v>
      </c>
      <c r="AY4" s="231"/>
      <c r="AZ4" s="232"/>
      <c r="BA4" s="353"/>
      <c r="BB4" s="353"/>
      <c r="BC4" s="353"/>
      <c r="BD4" s="353"/>
      <c r="BE4" s="353"/>
      <c r="BF4" s="353"/>
      <c r="BG4" s="353"/>
      <c r="BH4" s="353"/>
      <c r="BI4" s="353"/>
      <c r="BJ4" s="353"/>
      <c r="BK4" s="353"/>
      <c r="BL4" s="353"/>
      <c r="BM4" s="346"/>
      <c r="BN4" s="350"/>
      <c r="BO4" s="232"/>
      <c r="BP4" s="348"/>
      <c r="BQ4" s="460"/>
      <c r="BR4" s="461"/>
      <c r="BS4" s="461"/>
      <c r="BT4" s="461"/>
      <c r="BU4" s="461"/>
      <c r="BV4" s="461"/>
      <c r="BW4" s="461"/>
      <c r="BX4" s="461"/>
      <c r="BY4" s="461"/>
      <c r="BZ4" s="461"/>
      <c r="CA4" s="461"/>
      <c r="CB4" s="461"/>
      <c r="CC4" s="462"/>
    </row>
    <row r="5" spans="1:81" ht="78" customHeight="1" thickBot="1" x14ac:dyDescent="0.55000000000000004">
      <c r="A5" s="244" t="s">
        <v>42</v>
      </c>
      <c r="B5" s="245"/>
      <c r="C5" s="245"/>
      <c r="D5" s="246"/>
      <c r="E5" s="247"/>
      <c r="F5" s="196"/>
      <c r="G5" s="196"/>
      <c r="H5" s="248" t="s">
        <v>25</v>
      </c>
      <c r="I5" s="249" t="s">
        <v>195</v>
      </c>
      <c r="J5" s="250" t="s">
        <v>196</v>
      </c>
      <c r="K5" s="258" t="s">
        <v>326</v>
      </c>
      <c r="L5" s="251" t="s">
        <v>48</v>
      </c>
      <c r="M5" s="251" t="s">
        <v>327</v>
      </c>
      <c r="N5" s="456" t="s">
        <v>197</v>
      </c>
      <c r="O5" s="544" t="s">
        <v>417</v>
      </c>
      <c r="P5" s="544" t="s">
        <v>418</v>
      </c>
      <c r="Q5" s="544" t="s">
        <v>419</v>
      </c>
      <c r="R5" s="252" t="s">
        <v>198</v>
      </c>
      <c r="S5" s="253" t="s">
        <v>199</v>
      </c>
      <c r="T5" s="253" t="s">
        <v>200</v>
      </c>
      <c r="U5" s="252" t="s">
        <v>331</v>
      </c>
      <c r="V5" s="254" t="s">
        <v>201</v>
      </c>
      <c r="W5" s="251" t="s">
        <v>202</v>
      </c>
      <c r="X5" s="249" t="s">
        <v>203</v>
      </c>
      <c r="Y5" s="250" t="s">
        <v>204</v>
      </c>
      <c r="Z5" s="255" t="s">
        <v>201</v>
      </c>
      <c r="AA5" s="251" t="s">
        <v>205</v>
      </c>
      <c r="AB5" s="250" t="s">
        <v>206</v>
      </c>
      <c r="AC5" s="254" t="s">
        <v>201</v>
      </c>
      <c r="AD5" s="256" t="s">
        <v>207</v>
      </c>
      <c r="AE5" s="257" t="s">
        <v>208</v>
      </c>
      <c r="AF5" s="254" t="s">
        <v>201</v>
      </c>
      <c r="AG5" s="251" t="s">
        <v>209</v>
      </c>
      <c r="AH5" s="251" t="s">
        <v>210</v>
      </c>
      <c r="AI5" s="251" t="s">
        <v>328</v>
      </c>
      <c r="AJ5" s="251" t="s">
        <v>325</v>
      </c>
      <c r="AK5" s="251" t="s">
        <v>211</v>
      </c>
      <c r="AL5" s="258" t="s">
        <v>212</v>
      </c>
      <c r="AM5" s="250" t="s">
        <v>213</v>
      </c>
      <c r="AN5" s="259" t="s">
        <v>201</v>
      </c>
      <c r="AO5" s="260" t="s">
        <v>214</v>
      </c>
      <c r="AP5" s="260" t="s">
        <v>215</v>
      </c>
      <c r="AQ5" s="260" t="s">
        <v>216</v>
      </c>
      <c r="AR5" s="260" t="s">
        <v>217</v>
      </c>
      <c r="AS5" s="261" t="s">
        <v>218</v>
      </c>
      <c r="AT5" s="259" t="s">
        <v>219</v>
      </c>
      <c r="AU5" s="259" t="s">
        <v>220</v>
      </c>
      <c r="AV5" s="259" t="s">
        <v>221</v>
      </c>
      <c r="AW5" s="262" t="s">
        <v>222</v>
      </c>
      <c r="AX5" s="254" t="s">
        <v>223</v>
      </c>
      <c r="AY5" s="251" t="s">
        <v>224</v>
      </c>
      <c r="AZ5" s="263" t="s">
        <v>225</v>
      </c>
      <c r="BA5" s="354" t="s">
        <v>226</v>
      </c>
      <c r="BB5" s="354" t="s">
        <v>227</v>
      </c>
      <c r="BC5" s="354" t="s">
        <v>228</v>
      </c>
      <c r="BD5" s="354" t="s">
        <v>229</v>
      </c>
      <c r="BE5" s="354" t="s">
        <v>230</v>
      </c>
      <c r="BF5" s="354" t="s">
        <v>231</v>
      </c>
      <c r="BG5" s="354" t="s">
        <v>232</v>
      </c>
      <c r="BH5" s="355" t="s">
        <v>233</v>
      </c>
      <c r="BI5" s="356" t="s">
        <v>234</v>
      </c>
      <c r="BJ5" s="357" t="s">
        <v>235</v>
      </c>
      <c r="BK5" s="358" t="s">
        <v>236</v>
      </c>
      <c r="BL5" s="357" t="s">
        <v>282</v>
      </c>
      <c r="BM5" s="347" t="s">
        <v>237</v>
      </c>
      <c r="BN5" s="351" t="s">
        <v>238</v>
      </c>
      <c r="BO5" s="264" t="s">
        <v>239</v>
      </c>
      <c r="BP5" s="349" t="s">
        <v>239</v>
      </c>
      <c r="BQ5" s="265" t="s">
        <v>240</v>
      </c>
      <c r="BR5" s="266"/>
      <c r="BS5" s="267" t="s">
        <v>241</v>
      </c>
      <c r="BT5" s="266"/>
      <c r="BU5" s="361" t="s">
        <v>284</v>
      </c>
      <c r="BV5" s="362" t="s">
        <v>285</v>
      </c>
      <c r="BW5" s="459" t="s">
        <v>283</v>
      </c>
      <c r="BX5" s="266"/>
      <c r="BY5" s="266"/>
      <c r="BZ5" s="458" t="s">
        <v>290</v>
      </c>
      <c r="CA5" s="262" t="s">
        <v>344</v>
      </c>
      <c r="CB5" s="362" t="s">
        <v>292</v>
      </c>
      <c r="CC5" s="459" t="s">
        <v>291</v>
      </c>
    </row>
    <row r="6" spans="1:81" x14ac:dyDescent="0.25">
      <c r="A6" s="268" t="s">
        <v>26</v>
      </c>
      <c r="B6" s="269" t="s">
        <v>43</v>
      </c>
      <c r="C6" s="270" t="s">
        <v>33</v>
      </c>
      <c r="D6" s="271" t="s">
        <v>90</v>
      </c>
      <c r="E6" s="272" t="s">
        <v>41</v>
      </c>
      <c r="F6" s="273"/>
      <c r="G6" s="273"/>
      <c r="H6" s="177">
        <v>0.1</v>
      </c>
      <c r="I6" s="469">
        <f t="shared" ref="I6:I37" si="0">IF(PLOT_TYPE=1, H6/100*Iout_max, min_I*EXP(H6*rr/100))</f>
        <v>1E-4</v>
      </c>
      <c r="J6" s="224"/>
      <c r="K6" s="224"/>
      <c r="L6" s="224"/>
      <c r="M6" s="224"/>
      <c r="N6" s="274"/>
      <c r="O6" s="179"/>
      <c r="P6" s="224"/>
      <c r="Q6" s="455"/>
      <c r="S6" s="275"/>
      <c r="T6" s="275"/>
      <c r="U6" s="275"/>
      <c r="AJ6" s="455"/>
      <c r="AY6" s="223">
        <f>Vout*I6</f>
        <v>6.3000000000000003E-4</v>
      </c>
      <c r="AZ6" s="276">
        <f>AY6/(AY6+AX6)</f>
        <v>1</v>
      </c>
      <c r="BA6" s="352">
        <f t="shared" ref="BA6:BA9" si="1">AG6/($AY6+$AX6)</f>
        <v>0</v>
      </c>
      <c r="BB6" s="352">
        <f>AO6/($AY6+$AX6)</f>
        <v>0</v>
      </c>
      <c r="BC6" s="352" t="e">
        <f t="shared" ref="BC6:BC9" si="2">Vin*R6*(QgBot+Qg)/($AY6+$AX6)</f>
        <v>#NAME?</v>
      </c>
      <c r="BD6" s="352">
        <f t="shared" ref="BD6:BD9" si="3">AK6/($AY6+$AX6)</f>
        <v>0</v>
      </c>
      <c r="BE6" s="352">
        <f t="shared" ref="BE6:BE9" si="4">AQ6/(AX6+AY6)</f>
        <v>0</v>
      </c>
      <c r="BF6" s="352">
        <f t="shared" ref="BF6:BF9" si="5">AR6/($AY6+$AX6)</f>
        <v>0</v>
      </c>
      <c r="BG6" s="352">
        <f t="shared" ref="BG6:BG9" si="6">W6/($AY6+$AX6)</f>
        <v>0</v>
      </c>
      <c r="BH6" s="352">
        <f t="shared" ref="BH6:BH9" si="7">X6/($AY6+$AX6)</f>
        <v>0</v>
      </c>
      <c r="BI6" s="352">
        <f t="shared" ref="BI6:BI9" si="8">(AB6+AE6)/($AY6+$AX6)</f>
        <v>0</v>
      </c>
      <c r="BJ6" s="226">
        <f>AT6/($AY6+$AX6)</f>
        <v>0</v>
      </c>
      <c r="BK6" s="226">
        <f>AX6/($AY6+$AX6)</f>
        <v>0</v>
      </c>
      <c r="BL6" s="226">
        <f>AZ6</f>
        <v>1</v>
      </c>
      <c r="BM6" s="179">
        <f>100*BL6</f>
        <v>100</v>
      </c>
      <c r="BN6" s="224" t="e">
        <f xml:space="preserve"> CHOOSE(MODE, I6*1000,#REF!)</f>
        <v>#REF!</v>
      </c>
      <c r="BO6" s="179">
        <v>59.702372085750142</v>
      </c>
      <c r="BP6" s="226">
        <f>BO6/100</f>
        <v>0.59702372085750144</v>
      </c>
      <c r="BQ6" s="277">
        <f t="shared" ref="BQ6:BQ9" si="9">R6/1000</f>
        <v>0</v>
      </c>
      <c r="BR6" s="278"/>
      <c r="BS6" s="226">
        <f>AL6/($AY6+$AX6)</f>
        <v>0</v>
      </c>
      <c r="BT6" s="279"/>
      <c r="BU6" s="179">
        <f>1000*AW6</f>
        <v>0</v>
      </c>
      <c r="BV6" s="179">
        <f>1000*AU6</f>
        <v>0</v>
      </c>
      <c r="BW6" s="179">
        <f t="shared" ref="BW6:BW9" si="10">1000*Y6</f>
        <v>0</v>
      </c>
      <c r="BX6" s="226"/>
      <c r="BY6" s="226"/>
      <c r="BZ6" s="179" t="e">
        <f xml:space="preserve"> IF(MODE=1, BM6,#REF!)</f>
        <v>#REF!</v>
      </c>
      <c r="CA6" s="179" t="e">
        <f xml:space="preserve"> IF(MODE=1, BU6,#REF!)</f>
        <v>#REF!</v>
      </c>
      <c r="CB6" s="179" t="e">
        <f xml:space="preserve"> IF(MODE=1, BV6,#REF!)</f>
        <v>#REF!</v>
      </c>
      <c r="CC6" s="179" t="e">
        <f xml:space="preserve"> IF(MODE=1, BW6,#REF!)</f>
        <v>#REF!</v>
      </c>
    </row>
    <row r="7" spans="1:81" x14ac:dyDescent="0.25">
      <c r="A7" s="426"/>
      <c r="B7" s="269"/>
      <c r="C7" s="270"/>
      <c r="D7" s="271"/>
      <c r="E7" s="272"/>
      <c r="F7" s="273"/>
      <c r="G7" s="273"/>
      <c r="H7" s="177">
        <v>1</v>
      </c>
      <c r="I7" s="469">
        <f t="shared" si="0"/>
        <v>1E-3</v>
      </c>
      <c r="J7" s="224"/>
      <c r="K7" s="224"/>
      <c r="L7" s="224"/>
      <c r="M7" s="224"/>
      <c r="N7" s="274"/>
      <c r="O7" s="179"/>
      <c r="P7" s="224"/>
      <c r="Q7" s="455"/>
      <c r="S7" s="275"/>
      <c r="T7" s="275"/>
      <c r="U7" s="275"/>
      <c r="AJ7" s="455"/>
      <c r="AY7" s="223">
        <f>Vout*I7</f>
        <v>6.3E-3</v>
      </c>
      <c r="AZ7" s="276">
        <f>AY7/(AY7+AX7)</f>
        <v>1</v>
      </c>
      <c r="BA7" s="352">
        <f t="shared" si="1"/>
        <v>0</v>
      </c>
      <c r="BB7" s="352">
        <f>AO7/($AY7+$AX7)</f>
        <v>0</v>
      </c>
      <c r="BC7" s="352" t="e">
        <f t="shared" si="2"/>
        <v>#NAME?</v>
      </c>
      <c r="BD7" s="352">
        <f t="shared" ref="BD7" si="11">AK7/($AY7+$AX7)</f>
        <v>0</v>
      </c>
      <c r="BE7" s="352">
        <f t="shared" ref="BE7" si="12">AQ7/(AX7+AY7)</f>
        <v>0</v>
      </c>
      <c r="BF7" s="352">
        <f t="shared" ref="BF7" si="13">AR7/($AY7+$AX7)</f>
        <v>0</v>
      </c>
      <c r="BG7" s="352">
        <f t="shared" si="6"/>
        <v>0</v>
      </c>
      <c r="BH7" s="352">
        <f t="shared" si="7"/>
        <v>0</v>
      </c>
      <c r="BI7" s="352">
        <f t="shared" si="8"/>
        <v>0</v>
      </c>
      <c r="BJ7" s="226">
        <f>AT7/($AY7+$AX7)</f>
        <v>0</v>
      </c>
      <c r="BK7" s="226">
        <f t="shared" ref="BK7:BK9" si="14">AX7/($AY7+$AX7)</f>
        <v>0</v>
      </c>
      <c r="BL7" s="226">
        <f>AZ7</f>
        <v>1</v>
      </c>
      <c r="BM7" s="179">
        <f>100*BL7</f>
        <v>100</v>
      </c>
      <c r="BN7" s="224" t="e">
        <f xml:space="preserve"> CHOOSE(MODE, I7*1000,#REF!)</f>
        <v>#REF!</v>
      </c>
      <c r="BO7" s="179">
        <v>83.682599061581868</v>
      </c>
      <c r="BP7" s="226">
        <f t="shared" ref="BP7:BP9" si="15">BO7/100</f>
        <v>0.83682599061581864</v>
      </c>
      <c r="BQ7" s="277">
        <f t="shared" si="9"/>
        <v>0</v>
      </c>
      <c r="BR7" s="278"/>
      <c r="BS7" s="226">
        <f>AL7/($AY7+$AX7)</f>
        <v>0</v>
      </c>
      <c r="BT7" s="279"/>
      <c r="BU7" s="179">
        <f>1000*AW7</f>
        <v>0</v>
      </c>
      <c r="BV7" s="179">
        <f>1000*AU7</f>
        <v>0</v>
      </c>
      <c r="BW7" s="179">
        <f t="shared" si="10"/>
        <v>0</v>
      </c>
      <c r="BX7" s="226"/>
      <c r="BY7" s="226"/>
      <c r="BZ7" s="179" t="e">
        <f xml:space="preserve"> IF(MODE=1, BM7,#REF!)</f>
        <v>#REF!</v>
      </c>
      <c r="CA7" s="179" t="e">
        <f xml:space="preserve"> IF(MODE=1, BU7,#REF!)</f>
        <v>#REF!</v>
      </c>
      <c r="CB7" s="179" t="e">
        <f xml:space="preserve"> IF(MODE=1, BV7,#REF!)</f>
        <v>#REF!</v>
      </c>
      <c r="CC7" s="179" t="e">
        <f xml:space="preserve"> IF(MODE=1, BW7,#REF!)</f>
        <v>#REF!</v>
      </c>
    </row>
    <row r="8" spans="1:81" x14ac:dyDescent="0.25">
      <c r="A8" s="280" t="s">
        <v>3</v>
      </c>
      <c r="B8" s="281">
        <f>Vin</f>
        <v>24</v>
      </c>
      <c r="C8" s="282" t="s">
        <v>0</v>
      </c>
      <c r="D8" s="201">
        <f>B8</f>
        <v>24</v>
      </c>
      <c r="E8" s="195" t="s">
        <v>3</v>
      </c>
      <c r="F8" s="273"/>
      <c r="G8" s="273"/>
      <c r="H8" s="177">
        <v>2</v>
      </c>
      <c r="I8" s="469">
        <f t="shared" si="0"/>
        <v>2E-3</v>
      </c>
      <c r="J8" s="224"/>
      <c r="K8" s="224"/>
      <c r="L8" s="224"/>
      <c r="M8" s="224"/>
      <c r="N8" s="274"/>
      <c r="O8" s="179"/>
      <c r="P8" s="224"/>
      <c r="Q8" s="455"/>
      <c r="S8" s="275"/>
      <c r="T8" s="275"/>
      <c r="U8" s="275"/>
      <c r="AJ8" s="455"/>
      <c r="AY8" s="223">
        <f>Vout*I8</f>
        <v>1.26E-2</v>
      </c>
      <c r="AZ8" s="276">
        <f>AY8/(AY8+AX8)</f>
        <v>1</v>
      </c>
      <c r="BA8" s="352">
        <f t="shared" si="1"/>
        <v>0</v>
      </c>
      <c r="BB8" s="352">
        <f t="shared" ref="BB8:BB9" si="16">AO8/($AY8+$AX8)</f>
        <v>0</v>
      </c>
      <c r="BC8" s="352" t="e">
        <f t="shared" si="2"/>
        <v>#NAME?</v>
      </c>
      <c r="BD8" s="352">
        <f t="shared" si="3"/>
        <v>0</v>
      </c>
      <c r="BE8" s="352">
        <f t="shared" si="4"/>
        <v>0</v>
      </c>
      <c r="BF8" s="352">
        <f t="shared" si="5"/>
        <v>0</v>
      </c>
      <c r="BG8" s="352">
        <f t="shared" si="6"/>
        <v>0</v>
      </c>
      <c r="BH8" s="352">
        <f t="shared" si="7"/>
        <v>0</v>
      </c>
      <c r="BI8" s="352">
        <f t="shared" si="8"/>
        <v>0</v>
      </c>
      <c r="BJ8" s="226">
        <f t="shared" ref="BJ8:BJ9" si="17">AT8/($AY8+$AX8)</f>
        <v>0</v>
      </c>
      <c r="BK8" s="226">
        <f t="shared" si="14"/>
        <v>0</v>
      </c>
      <c r="BL8" s="226">
        <f t="shared" ref="BL8:BL9" si="18">AZ8</f>
        <v>1</v>
      </c>
      <c r="BM8" s="179">
        <f t="shared" ref="BM8:BM9" si="19">100*BL8</f>
        <v>100</v>
      </c>
      <c r="BN8" s="224" t="e">
        <f xml:space="preserve"> CHOOSE(MODE, I8*1000,#REF!)</f>
        <v>#REF!</v>
      </c>
      <c r="BO8" s="179">
        <v>85.591306536493136</v>
      </c>
      <c r="BP8" s="226">
        <f t="shared" si="15"/>
        <v>0.85591306536493139</v>
      </c>
      <c r="BQ8" s="277">
        <f t="shared" si="9"/>
        <v>0</v>
      </c>
      <c r="BR8" s="278"/>
      <c r="BS8" s="226">
        <f t="shared" ref="BS8:BS9" si="20">AL8/($AY8+$AX8)</f>
        <v>0</v>
      </c>
      <c r="BT8" s="279"/>
      <c r="BU8" s="179">
        <f t="shared" ref="BU8:BU9" si="21">1000*AW8</f>
        <v>0</v>
      </c>
      <c r="BV8" s="179">
        <f t="shared" ref="BV8:BV9" si="22">1000*AU8</f>
        <v>0</v>
      </c>
      <c r="BW8" s="179">
        <f t="shared" si="10"/>
        <v>0</v>
      </c>
      <c r="BX8" s="226"/>
      <c r="BY8" s="226"/>
      <c r="BZ8" s="179" t="e">
        <f xml:space="preserve"> IF(MODE=1, BM8,#REF!)</f>
        <v>#REF!</v>
      </c>
      <c r="CA8" s="179" t="e">
        <f xml:space="preserve"> IF(MODE=1, BU8,#REF!)</f>
        <v>#REF!</v>
      </c>
      <c r="CB8" s="179" t="e">
        <f xml:space="preserve"> IF(MODE=1, BV8,#REF!)</f>
        <v>#REF!</v>
      </c>
      <c r="CC8" s="179" t="e">
        <f xml:space="preserve"> IF(MODE=1, BW8,#REF!)</f>
        <v>#REF!</v>
      </c>
    </row>
    <row r="9" spans="1:81" x14ac:dyDescent="0.25">
      <c r="A9" s="283" t="s">
        <v>4</v>
      </c>
      <c r="B9" s="281">
        <f>Vout</f>
        <v>6.3</v>
      </c>
      <c r="C9" s="282" t="s">
        <v>0</v>
      </c>
      <c r="D9" s="201">
        <f>B9</f>
        <v>6.3</v>
      </c>
      <c r="E9" s="195" t="s">
        <v>4</v>
      </c>
      <c r="F9" s="273"/>
      <c r="G9" s="273"/>
      <c r="H9" s="177">
        <v>3</v>
      </c>
      <c r="I9" s="469">
        <f t="shared" si="0"/>
        <v>3.0000000000000001E-3</v>
      </c>
      <c r="J9" s="224"/>
      <c r="K9" s="224"/>
      <c r="L9" s="224"/>
      <c r="M9" s="224"/>
      <c r="N9" s="274"/>
      <c r="O9" s="179"/>
      <c r="P9" s="224"/>
      <c r="Q9" s="455"/>
      <c r="S9" s="275"/>
      <c r="T9" s="275"/>
      <c r="U9" s="275"/>
      <c r="AJ9" s="455"/>
      <c r="AY9" s="223">
        <f>Vout*I9</f>
        <v>1.89E-2</v>
      </c>
      <c r="AZ9" s="276">
        <f t="shared" ref="AZ9" si="23">AY9/(AY9+AX9)</f>
        <v>1</v>
      </c>
      <c r="BA9" s="352">
        <f t="shared" si="1"/>
        <v>0</v>
      </c>
      <c r="BB9" s="352">
        <f t="shared" si="16"/>
        <v>0</v>
      </c>
      <c r="BC9" s="352" t="e">
        <f t="shared" si="2"/>
        <v>#NAME?</v>
      </c>
      <c r="BD9" s="352">
        <f t="shared" si="3"/>
        <v>0</v>
      </c>
      <c r="BE9" s="352">
        <f t="shared" si="4"/>
        <v>0</v>
      </c>
      <c r="BF9" s="352">
        <f t="shared" si="5"/>
        <v>0</v>
      </c>
      <c r="BG9" s="352">
        <f t="shared" si="6"/>
        <v>0</v>
      </c>
      <c r="BH9" s="352">
        <f t="shared" si="7"/>
        <v>0</v>
      </c>
      <c r="BI9" s="352">
        <f t="shared" si="8"/>
        <v>0</v>
      </c>
      <c r="BJ9" s="226">
        <f t="shared" si="17"/>
        <v>0</v>
      </c>
      <c r="BK9" s="226">
        <f t="shared" si="14"/>
        <v>0</v>
      </c>
      <c r="BL9" s="226">
        <f t="shared" si="18"/>
        <v>1</v>
      </c>
      <c r="BM9" s="179">
        <f t="shared" si="19"/>
        <v>100</v>
      </c>
      <c r="BN9" s="224" t="e">
        <f xml:space="preserve"> CHOOSE(MODE, I9*1000,#REF!)</f>
        <v>#REF!</v>
      </c>
      <c r="BO9" s="179">
        <v>86.246143423411425</v>
      </c>
      <c r="BP9" s="226">
        <f t="shared" si="15"/>
        <v>0.86246143423411425</v>
      </c>
      <c r="BQ9" s="277">
        <f t="shared" si="9"/>
        <v>0</v>
      </c>
      <c r="BR9" s="278"/>
      <c r="BS9" s="226">
        <f t="shared" si="20"/>
        <v>0</v>
      </c>
      <c r="BT9" s="279"/>
      <c r="BU9" s="179">
        <f t="shared" si="21"/>
        <v>0</v>
      </c>
      <c r="BV9" s="179">
        <f t="shared" si="22"/>
        <v>0</v>
      </c>
      <c r="BW9" s="179">
        <f t="shared" si="10"/>
        <v>0</v>
      </c>
      <c r="BX9" s="226"/>
      <c r="BY9" s="226"/>
      <c r="BZ9" s="179" t="e">
        <f xml:space="preserve"> IF(MODE=1, BM9,#REF!)</f>
        <v>#REF!</v>
      </c>
      <c r="CA9" s="179" t="e">
        <f xml:space="preserve"> IF(MODE=1, BU9,#REF!)</f>
        <v>#REF!</v>
      </c>
      <c r="CB9" s="179" t="e">
        <f xml:space="preserve"> IF(MODE=1, BV9,#REF!)</f>
        <v>#REF!</v>
      </c>
      <c r="CC9" s="179" t="e">
        <f xml:space="preserve"> IF(MODE=1, BW9,#REF!)</f>
        <v>#REF!</v>
      </c>
    </row>
    <row r="10" spans="1:81" x14ac:dyDescent="0.25">
      <c r="A10" s="283" t="s">
        <v>5</v>
      </c>
      <c r="B10" s="281">
        <f>Iout</f>
        <v>0.1</v>
      </c>
      <c r="C10" s="282" t="s">
        <v>1</v>
      </c>
      <c r="D10" s="201">
        <f>B10</f>
        <v>0.1</v>
      </c>
      <c r="E10" s="284" t="s">
        <v>242</v>
      </c>
      <c r="F10" s="273"/>
      <c r="G10" s="273"/>
      <c r="H10" s="177">
        <v>4</v>
      </c>
      <c r="I10" s="469">
        <f t="shared" si="0"/>
        <v>4.0000000000000001E-3</v>
      </c>
      <c r="J10" s="224"/>
      <c r="K10" s="224"/>
      <c r="L10" s="224"/>
      <c r="M10" s="224"/>
      <c r="N10" s="274"/>
      <c r="O10" s="179"/>
      <c r="P10" s="224"/>
      <c r="Q10" s="455"/>
      <c r="S10" s="275"/>
      <c r="T10" s="275"/>
      <c r="U10" s="275"/>
      <c r="AJ10" s="455"/>
      <c r="AZ10" s="276"/>
      <c r="BJ10" s="226"/>
      <c r="BK10" s="226"/>
      <c r="BL10" s="226"/>
      <c r="BO10" s="179"/>
      <c r="BP10" s="226"/>
      <c r="BQ10" s="277"/>
      <c r="BR10" s="278"/>
      <c r="BS10" s="226"/>
      <c r="BT10" s="279"/>
      <c r="BX10" s="226"/>
      <c r="BY10" s="226"/>
      <c r="BZ10" s="179"/>
      <c r="CA10" s="179"/>
      <c r="CB10" s="179"/>
      <c r="CC10" s="179"/>
    </row>
    <row r="11" spans="1:81" x14ac:dyDescent="0.25">
      <c r="A11" s="283" t="s">
        <v>139</v>
      </c>
      <c r="B11" s="364">
        <f>Vout/(Fsw/1000)*100000/16</f>
        <v>393749.99999999994</v>
      </c>
      <c r="C11" s="285" t="s">
        <v>243</v>
      </c>
      <c r="D11" s="299">
        <f>B11*1000</f>
        <v>393749999.99999994</v>
      </c>
      <c r="E11" s="284"/>
      <c r="F11" s="273"/>
      <c r="G11" s="273"/>
      <c r="H11" s="177">
        <v>5</v>
      </c>
      <c r="I11" s="469">
        <f t="shared" si="0"/>
        <v>5.000000000000001E-3</v>
      </c>
      <c r="J11" s="224"/>
      <c r="K11" s="224"/>
      <c r="L11" s="224"/>
      <c r="M11" s="224"/>
      <c r="N11" s="274"/>
      <c r="O11" s="179"/>
      <c r="P11" s="224"/>
      <c r="Q11" s="455"/>
      <c r="S11" s="275"/>
      <c r="T11" s="275"/>
      <c r="U11" s="275"/>
      <c r="AJ11" s="455"/>
      <c r="AZ11" s="276"/>
      <c r="BJ11" s="226"/>
      <c r="BK11" s="226"/>
      <c r="BL11" s="226"/>
      <c r="BO11" s="179"/>
      <c r="BP11" s="226"/>
      <c r="BQ11" s="277"/>
      <c r="BR11" s="278"/>
      <c r="BS11" s="226"/>
      <c r="BT11" s="279"/>
      <c r="BX11" s="226"/>
      <c r="BY11" s="226"/>
      <c r="BZ11" s="179"/>
      <c r="CA11" s="179"/>
      <c r="CB11" s="179"/>
      <c r="CC11" s="179"/>
    </row>
    <row r="12" spans="1:81" x14ac:dyDescent="0.25">
      <c r="A12" s="283" t="s">
        <v>244</v>
      </c>
      <c r="B12" s="281">
        <v>25</v>
      </c>
      <c r="C12" s="282" t="s">
        <v>102</v>
      </c>
      <c r="D12" s="201">
        <f>B12</f>
        <v>25</v>
      </c>
      <c r="E12" s="284" t="s">
        <v>245</v>
      </c>
      <c r="F12" s="273">
        <f>Turns_Ratio</f>
        <v>4</v>
      </c>
      <c r="H12" s="177">
        <v>6</v>
      </c>
      <c r="I12" s="469">
        <f t="shared" si="0"/>
        <v>6.0000000000000001E-3</v>
      </c>
      <c r="J12" s="224"/>
      <c r="K12" s="224"/>
      <c r="L12" s="224"/>
      <c r="M12" s="224"/>
      <c r="N12" s="274"/>
      <c r="O12" s="179"/>
      <c r="P12" s="224"/>
      <c r="Q12" s="455"/>
      <c r="S12" s="275"/>
      <c r="T12" s="275"/>
      <c r="U12" s="275"/>
      <c r="AJ12" s="455"/>
      <c r="AZ12" s="276"/>
      <c r="BJ12" s="226"/>
      <c r="BK12" s="226"/>
      <c r="BL12" s="226"/>
      <c r="BO12" s="179"/>
      <c r="BP12" s="226"/>
      <c r="BQ12" s="277"/>
      <c r="BR12" s="278"/>
      <c r="BS12" s="226"/>
      <c r="BT12" s="279"/>
      <c r="BX12" s="226"/>
      <c r="BY12" s="226"/>
      <c r="BZ12" s="179"/>
      <c r="CA12" s="179"/>
      <c r="CB12" s="179"/>
      <c r="CC12" s="179"/>
    </row>
    <row r="13" spans="1:81" x14ac:dyDescent="0.25">
      <c r="A13" s="286" t="s">
        <v>246</v>
      </c>
      <c r="B13" s="287">
        <v>5</v>
      </c>
      <c r="C13" s="282" t="s">
        <v>0</v>
      </c>
      <c r="D13" s="201">
        <f>B13</f>
        <v>5</v>
      </c>
      <c r="E13" s="284"/>
      <c r="F13" s="273"/>
      <c r="G13" s="273"/>
      <c r="H13" s="177">
        <v>7</v>
      </c>
      <c r="I13" s="469">
        <f t="shared" si="0"/>
        <v>7.000000000000001E-3</v>
      </c>
      <c r="J13" s="224"/>
      <c r="K13" s="224"/>
      <c r="L13" s="224"/>
      <c r="M13" s="224"/>
      <c r="N13" s="274"/>
      <c r="O13" s="179"/>
      <c r="P13" s="224"/>
      <c r="Q13" s="455"/>
      <c r="S13" s="275"/>
      <c r="T13" s="275"/>
      <c r="U13" s="275"/>
      <c r="AJ13" s="455"/>
      <c r="AZ13" s="276"/>
      <c r="BJ13" s="226"/>
      <c r="BK13" s="226"/>
      <c r="BL13" s="226"/>
      <c r="BO13" s="179"/>
      <c r="BP13" s="226"/>
      <c r="BQ13" s="277"/>
      <c r="BR13" s="278"/>
      <c r="BS13" s="226"/>
      <c r="BT13" s="279"/>
      <c r="BX13" s="226"/>
      <c r="BY13" s="226"/>
      <c r="BZ13" s="179"/>
      <c r="CA13" s="179"/>
      <c r="CB13" s="179"/>
      <c r="CC13" s="179"/>
    </row>
    <row r="14" spans="1:81" x14ac:dyDescent="0.25">
      <c r="F14" s="273"/>
      <c r="G14" s="273"/>
      <c r="H14" s="177">
        <v>8</v>
      </c>
      <c r="I14" s="469">
        <f t="shared" si="0"/>
        <v>8.0000000000000002E-3</v>
      </c>
      <c r="J14" s="224"/>
      <c r="K14" s="224"/>
      <c r="L14" s="224"/>
      <c r="M14" s="224"/>
      <c r="N14" s="274"/>
      <c r="O14" s="179"/>
      <c r="P14" s="224"/>
      <c r="Q14" s="455"/>
      <c r="S14" s="275"/>
      <c r="T14" s="275"/>
      <c r="U14" s="275"/>
      <c r="AJ14" s="455"/>
      <c r="AZ14" s="276"/>
      <c r="BJ14" s="226"/>
      <c r="BK14" s="226"/>
      <c r="BL14" s="226"/>
      <c r="BO14" s="179"/>
      <c r="BP14" s="226"/>
      <c r="BQ14" s="277"/>
      <c r="BR14" s="278"/>
      <c r="BS14" s="226"/>
      <c r="BT14" s="279"/>
      <c r="BX14" s="226"/>
      <c r="BY14" s="226"/>
      <c r="BZ14" s="179"/>
      <c r="CA14" s="179"/>
      <c r="CB14" s="179"/>
      <c r="CC14" s="179"/>
    </row>
    <row r="15" spans="1:81" x14ac:dyDescent="0.25">
      <c r="A15" s="288" t="s">
        <v>34</v>
      </c>
      <c r="B15" s="246"/>
      <c r="C15" s="246"/>
      <c r="D15" s="246"/>
      <c r="E15" s="247"/>
      <c r="F15" s="273"/>
      <c r="G15" s="273"/>
      <c r="H15" s="177">
        <v>9</v>
      </c>
      <c r="I15" s="469">
        <f t="shared" si="0"/>
        <v>8.9999999999999993E-3</v>
      </c>
      <c r="J15" s="224"/>
      <c r="K15" s="224"/>
      <c r="L15" s="224"/>
      <c r="M15" s="224"/>
      <c r="N15" s="274"/>
      <c r="O15" s="179"/>
      <c r="P15" s="224"/>
      <c r="Q15" s="455"/>
      <c r="S15" s="275"/>
      <c r="T15" s="275"/>
      <c r="U15" s="275"/>
      <c r="AJ15" s="455"/>
      <c r="AZ15" s="276"/>
      <c r="BJ15" s="226"/>
      <c r="BK15" s="226"/>
      <c r="BL15" s="226"/>
      <c r="BO15" s="179"/>
      <c r="BP15" s="226"/>
      <c r="BQ15" s="277"/>
      <c r="BR15" s="278"/>
      <c r="BS15" s="226"/>
      <c r="BT15" s="279"/>
      <c r="BX15" s="226"/>
      <c r="BY15" s="226"/>
      <c r="BZ15" s="179"/>
      <c r="CA15" s="179"/>
      <c r="CB15" s="179"/>
      <c r="CC15" s="179"/>
    </row>
    <row r="16" spans="1:81" x14ac:dyDescent="0.25">
      <c r="A16" s="289" t="s">
        <v>26</v>
      </c>
      <c r="B16" s="269" t="s">
        <v>6</v>
      </c>
      <c r="C16" s="290" t="s">
        <v>33</v>
      </c>
      <c r="D16" s="291" t="s">
        <v>90</v>
      </c>
      <c r="E16" s="272" t="s">
        <v>41</v>
      </c>
      <c r="F16" s="273"/>
      <c r="G16" s="273"/>
      <c r="H16" s="177">
        <v>10</v>
      </c>
      <c r="I16" s="469">
        <f t="shared" si="0"/>
        <v>1.0000000000000002E-2</v>
      </c>
      <c r="J16" s="224"/>
      <c r="K16" s="224"/>
      <c r="L16" s="224"/>
      <c r="M16" s="224"/>
      <c r="N16" s="274"/>
      <c r="O16" s="179"/>
      <c r="P16" s="224"/>
      <c r="Q16" s="455"/>
      <c r="S16" s="275"/>
      <c r="T16" s="275"/>
      <c r="U16" s="275"/>
      <c r="AJ16" s="455"/>
      <c r="AZ16" s="276"/>
      <c r="BJ16" s="226"/>
      <c r="BK16" s="226"/>
      <c r="BL16" s="226"/>
      <c r="BO16" s="179"/>
      <c r="BP16" s="226"/>
      <c r="BQ16" s="277"/>
      <c r="BR16" s="278"/>
      <c r="BS16" s="226"/>
      <c r="BT16" s="279"/>
      <c r="BX16" s="226"/>
      <c r="BY16" s="226"/>
      <c r="BZ16" s="179"/>
      <c r="CA16" s="179"/>
      <c r="CB16" s="179"/>
      <c r="CC16" s="179"/>
    </row>
    <row r="17" spans="1:81" x14ac:dyDescent="0.25">
      <c r="A17" s="292" t="s">
        <v>247</v>
      </c>
      <c r="B17" s="293">
        <f>Vout/Vin/Fsw*1000000</f>
        <v>2625</v>
      </c>
      <c r="C17" s="294" t="s">
        <v>248</v>
      </c>
      <c r="D17" s="295">
        <f>B17/1000000</f>
        <v>2.6250000000000002E-3</v>
      </c>
      <c r="E17" s="284" t="s">
        <v>249</v>
      </c>
      <c r="F17" s="273"/>
      <c r="G17" s="273"/>
      <c r="H17" s="177">
        <v>11</v>
      </c>
      <c r="I17" s="469">
        <f t="shared" si="0"/>
        <v>1.1000000000000001E-2</v>
      </c>
      <c r="J17" s="224"/>
      <c r="K17" s="224"/>
      <c r="L17" s="224"/>
      <c r="M17" s="224"/>
      <c r="N17" s="274"/>
      <c r="O17" s="179"/>
      <c r="P17" s="224"/>
      <c r="Q17" s="455"/>
      <c r="S17" s="275"/>
      <c r="T17" s="275"/>
      <c r="U17" s="275"/>
      <c r="AJ17" s="455"/>
      <c r="AZ17" s="276"/>
      <c r="BJ17" s="226"/>
      <c r="BK17" s="226"/>
      <c r="BL17" s="226"/>
      <c r="BO17" s="179"/>
      <c r="BP17" s="226"/>
      <c r="BQ17" s="277"/>
      <c r="BR17" s="278"/>
      <c r="BS17" s="226"/>
      <c r="BT17" s="279"/>
      <c r="BX17" s="226"/>
      <c r="BY17" s="226"/>
      <c r="BZ17" s="179"/>
      <c r="CA17" s="179"/>
      <c r="CB17" s="179"/>
      <c r="CC17" s="179"/>
    </row>
    <row r="18" spans="1:81" x14ac:dyDescent="0.25">
      <c r="A18" s="292" t="s">
        <v>250</v>
      </c>
      <c r="B18" s="293"/>
      <c r="C18" s="294" t="s">
        <v>248</v>
      </c>
      <c r="D18" s="296">
        <f>B18/1000000</f>
        <v>0</v>
      </c>
      <c r="E18" s="282" t="s">
        <v>251</v>
      </c>
      <c r="F18" s="273"/>
      <c r="G18" s="273"/>
      <c r="H18" s="177">
        <v>12</v>
      </c>
      <c r="I18" s="469">
        <f t="shared" si="0"/>
        <v>1.2E-2</v>
      </c>
      <c r="J18" s="224"/>
      <c r="K18" s="224"/>
      <c r="L18" s="224"/>
      <c r="M18" s="224"/>
      <c r="N18" s="274"/>
      <c r="O18" s="179"/>
      <c r="P18" s="224"/>
      <c r="Q18" s="455"/>
      <c r="S18" s="275"/>
      <c r="T18" s="275"/>
      <c r="U18" s="275"/>
      <c r="AJ18" s="455"/>
      <c r="AZ18" s="276"/>
      <c r="BJ18" s="226"/>
      <c r="BK18" s="226"/>
      <c r="BL18" s="226"/>
      <c r="BO18" s="179"/>
      <c r="BP18" s="226"/>
      <c r="BQ18" s="277"/>
      <c r="BR18" s="278"/>
      <c r="BS18" s="226"/>
      <c r="BT18" s="279"/>
      <c r="BX18" s="226"/>
      <c r="BY18" s="226"/>
      <c r="BZ18" s="179"/>
      <c r="CA18" s="179"/>
      <c r="CB18" s="179"/>
      <c r="CC18" s="179"/>
    </row>
    <row r="19" spans="1:81" ht="15.6" x14ac:dyDescent="0.35">
      <c r="A19" s="286" t="s">
        <v>252</v>
      </c>
      <c r="B19" s="297">
        <f>(Vin-Vout-(Rdcr_pri+Rdson)*Iout)/L*OnTime*1000</f>
        <v>842577.27272727282</v>
      </c>
      <c r="C19" s="284" t="s">
        <v>30</v>
      </c>
      <c r="D19" s="197">
        <f>B19/1000</f>
        <v>842.57727272727277</v>
      </c>
      <c r="E19" s="282" t="s">
        <v>253</v>
      </c>
      <c r="F19" s="273"/>
      <c r="G19" s="273"/>
      <c r="H19" s="177">
        <v>13</v>
      </c>
      <c r="I19" s="469">
        <f t="shared" si="0"/>
        <v>1.3000000000000001E-2</v>
      </c>
      <c r="J19" s="224"/>
      <c r="K19" s="224"/>
      <c r="L19" s="224"/>
      <c r="M19" s="224"/>
      <c r="N19" s="274"/>
      <c r="O19" s="179"/>
      <c r="P19" s="224"/>
      <c r="Q19" s="455"/>
      <c r="S19" s="275"/>
      <c r="T19" s="275"/>
      <c r="U19" s="275"/>
      <c r="AJ19" s="455"/>
      <c r="AZ19" s="276"/>
      <c r="BJ19" s="226"/>
      <c r="BK19" s="226"/>
      <c r="BL19" s="226"/>
      <c r="BO19" s="179"/>
      <c r="BP19" s="226"/>
      <c r="BQ19" s="277"/>
      <c r="BR19" s="278"/>
      <c r="BS19" s="226"/>
      <c r="BT19" s="279"/>
      <c r="BX19" s="226"/>
      <c r="BY19" s="226"/>
      <c r="BZ19" s="179"/>
      <c r="CA19" s="179"/>
      <c r="CB19" s="179"/>
      <c r="CC19" s="179"/>
    </row>
    <row r="20" spans="1:81" x14ac:dyDescent="0.25">
      <c r="A20" s="292" t="s">
        <v>254</v>
      </c>
      <c r="B20" s="298">
        <f>'Design Converter'!E13</f>
        <v>0.1</v>
      </c>
      <c r="C20" s="282" t="s">
        <v>2</v>
      </c>
      <c r="D20" s="299">
        <f>B20*1000</f>
        <v>100</v>
      </c>
      <c r="E20" s="284" t="s">
        <v>255</v>
      </c>
      <c r="F20" s="366"/>
      <c r="G20" s="273"/>
      <c r="H20" s="177">
        <v>14</v>
      </c>
      <c r="I20" s="469">
        <f t="shared" si="0"/>
        <v>1.4000000000000002E-2</v>
      </c>
      <c r="J20" s="224"/>
      <c r="K20" s="224"/>
      <c r="L20" s="224"/>
      <c r="M20" s="224"/>
      <c r="N20" s="274"/>
      <c r="O20" s="179"/>
      <c r="P20" s="224"/>
      <c r="Q20" s="455"/>
      <c r="S20" s="275"/>
      <c r="T20" s="275"/>
      <c r="U20" s="275"/>
      <c r="AJ20" s="455"/>
      <c r="AZ20" s="276"/>
      <c r="BJ20" s="226"/>
      <c r="BK20" s="226"/>
      <c r="BL20" s="226"/>
      <c r="BO20" s="179"/>
      <c r="BP20" s="226"/>
      <c r="BQ20" s="277"/>
      <c r="BR20" s="278"/>
      <c r="BS20" s="226"/>
      <c r="BT20" s="279"/>
      <c r="BX20" s="226"/>
      <c r="BY20" s="226"/>
      <c r="BZ20" s="179"/>
      <c r="CA20" s="179"/>
      <c r="CB20" s="179"/>
      <c r="CC20" s="179"/>
    </row>
    <row r="21" spans="1:81" x14ac:dyDescent="0.25">
      <c r="A21" s="292" t="s">
        <v>423</v>
      </c>
      <c r="B21" s="297">
        <v>350</v>
      </c>
      <c r="C21" s="284" t="s">
        <v>2</v>
      </c>
      <c r="D21" s="299">
        <f>B21*1000</f>
        <v>350000</v>
      </c>
      <c r="E21" s="284" t="s">
        <v>424</v>
      </c>
      <c r="F21" s="273"/>
      <c r="G21" s="273"/>
      <c r="H21" s="177">
        <v>15</v>
      </c>
      <c r="I21" s="469">
        <f t="shared" si="0"/>
        <v>1.4999999999999999E-2</v>
      </c>
      <c r="J21" s="224"/>
      <c r="K21" s="224"/>
      <c r="L21" s="224"/>
      <c r="M21" s="224"/>
      <c r="N21" s="274"/>
      <c r="O21" s="179"/>
      <c r="P21" s="224"/>
      <c r="Q21" s="455"/>
      <c r="S21" s="275"/>
      <c r="T21" s="275"/>
      <c r="U21" s="275"/>
      <c r="AJ21" s="455"/>
      <c r="AZ21" s="276"/>
      <c r="BJ21" s="226"/>
      <c r="BK21" s="226"/>
      <c r="BL21" s="226"/>
      <c r="BO21" s="179"/>
      <c r="BP21" s="226"/>
      <c r="BQ21" s="277"/>
      <c r="BR21" s="278"/>
      <c r="BS21" s="226"/>
      <c r="BT21" s="279"/>
      <c r="BX21" s="226"/>
      <c r="BY21" s="226"/>
      <c r="BZ21" s="179"/>
      <c r="CA21" s="179"/>
      <c r="CB21" s="179"/>
      <c r="CC21" s="179"/>
    </row>
    <row r="22" spans="1:81" x14ac:dyDescent="0.25">
      <c r="A22" s="300" t="s">
        <v>38</v>
      </c>
      <c r="B22" s="301">
        <v>20</v>
      </c>
      <c r="C22" s="282" t="s">
        <v>32</v>
      </c>
      <c r="D22" s="302">
        <f>B22/1000000000</f>
        <v>2E-8</v>
      </c>
      <c r="E22" s="195" t="s">
        <v>256</v>
      </c>
      <c r="F22" s="273"/>
      <c r="G22" s="273"/>
      <c r="H22" s="177">
        <v>16</v>
      </c>
      <c r="I22" s="469">
        <f t="shared" si="0"/>
        <v>1.6E-2</v>
      </c>
      <c r="J22" s="224"/>
      <c r="K22" s="224"/>
      <c r="L22" s="224"/>
      <c r="M22" s="224"/>
      <c r="N22" s="274"/>
      <c r="O22" s="179"/>
      <c r="P22" s="224"/>
      <c r="Q22" s="455"/>
      <c r="S22" s="275"/>
      <c r="T22" s="275"/>
      <c r="U22" s="275"/>
      <c r="AJ22" s="455"/>
      <c r="AZ22" s="276"/>
      <c r="BJ22" s="226"/>
      <c r="BK22" s="226"/>
      <c r="BL22" s="226"/>
      <c r="BO22" s="179"/>
      <c r="BP22" s="226"/>
      <c r="BQ22" s="277"/>
      <c r="BR22" s="278"/>
      <c r="BS22" s="226"/>
      <c r="BT22" s="279"/>
      <c r="BX22" s="226"/>
      <c r="BY22" s="226"/>
      <c r="BZ22" s="179"/>
      <c r="CA22" s="179"/>
      <c r="CB22" s="179"/>
      <c r="CC22" s="179"/>
    </row>
    <row r="23" spans="1:81" x14ac:dyDescent="0.25">
      <c r="A23" s="300" t="s">
        <v>39</v>
      </c>
      <c r="B23" s="301">
        <v>20</v>
      </c>
      <c r="C23" s="282" t="s">
        <v>32</v>
      </c>
      <c r="D23" s="302">
        <f>B23/1000000000</f>
        <v>2E-8</v>
      </c>
      <c r="E23" s="195" t="s">
        <v>257</v>
      </c>
      <c r="F23" s="273"/>
      <c r="G23" s="273"/>
      <c r="H23" s="177">
        <v>17</v>
      </c>
      <c r="I23" s="469">
        <f t="shared" si="0"/>
        <v>1.7000000000000001E-2</v>
      </c>
      <c r="J23" s="224"/>
      <c r="K23" s="224"/>
      <c r="L23" s="224"/>
      <c r="M23" s="224"/>
      <c r="N23" s="274"/>
      <c r="O23" s="179"/>
      <c r="P23" s="224"/>
      <c r="Q23" s="455"/>
      <c r="S23" s="275"/>
      <c r="T23" s="275"/>
      <c r="U23" s="275"/>
      <c r="AJ23" s="455"/>
      <c r="AZ23" s="276"/>
      <c r="BJ23" s="226"/>
      <c r="BK23" s="226"/>
      <c r="BL23" s="226"/>
      <c r="BO23" s="179"/>
      <c r="BP23" s="226"/>
      <c r="BQ23" s="277"/>
      <c r="BR23" s="278"/>
      <c r="BS23" s="226"/>
      <c r="BT23" s="279"/>
      <c r="BX23" s="226"/>
      <c r="BY23" s="226"/>
      <c r="BZ23" s="179"/>
      <c r="CA23" s="179"/>
      <c r="CB23" s="179"/>
      <c r="CC23" s="179"/>
    </row>
    <row r="24" spans="1:81" x14ac:dyDescent="0.25">
      <c r="A24" s="247"/>
      <c r="B24" s="247"/>
      <c r="C24" s="247"/>
      <c r="D24" s="247"/>
      <c r="E24" s="247"/>
      <c r="F24" s="273"/>
      <c r="G24" s="273"/>
      <c r="H24" s="177">
        <v>18</v>
      </c>
      <c r="I24" s="469">
        <f t="shared" si="0"/>
        <v>1.7999999999999999E-2</v>
      </c>
      <c r="J24" s="224"/>
      <c r="K24" s="224"/>
      <c r="L24" s="224"/>
      <c r="M24" s="224"/>
      <c r="N24" s="274"/>
      <c r="O24" s="179"/>
      <c r="P24" s="224"/>
      <c r="Q24" s="455"/>
      <c r="S24" s="275"/>
      <c r="T24" s="275"/>
      <c r="U24" s="275"/>
      <c r="AJ24" s="455"/>
      <c r="AZ24" s="276"/>
      <c r="BJ24" s="226"/>
      <c r="BK24" s="226"/>
      <c r="BL24" s="226"/>
      <c r="BO24" s="179"/>
      <c r="BP24" s="226"/>
      <c r="BQ24" s="277"/>
      <c r="BR24" s="278"/>
      <c r="BS24" s="226"/>
      <c r="BT24" s="279"/>
      <c r="BX24" s="226"/>
      <c r="BY24" s="226"/>
      <c r="BZ24" s="179"/>
      <c r="CA24" s="179"/>
      <c r="CB24" s="179"/>
      <c r="CC24" s="179"/>
    </row>
    <row r="25" spans="1:81" x14ac:dyDescent="0.25">
      <c r="A25" s="289" t="s">
        <v>29</v>
      </c>
      <c r="B25" s="270" t="s">
        <v>43</v>
      </c>
      <c r="C25" s="290" t="s">
        <v>33</v>
      </c>
      <c r="D25" s="291" t="s">
        <v>90</v>
      </c>
      <c r="E25" s="272" t="s">
        <v>41</v>
      </c>
      <c r="F25" s="273"/>
      <c r="G25" s="273"/>
      <c r="H25" s="177">
        <v>19</v>
      </c>
      <c r="I25" s="469">
        <f t="shared" si="0"/>
        <v>1.9000000000000003E-2</v>
      </c>
      <c r="J25" s="224"/>
      <c r="K25" s="224"/>
      <c r="L25" s="224"/>
      <c r="M25" s="224"/>
      <c r="N25" s="274"/>
      <c r="O25" s="179"/>
      <c r="P25" s="224"/>
      <c r="Q25" s="455"/>
      <c r="S25" s="275"/>
      <c r="T25" s="275"/>
      <c r="U25" s="275"/>
      <c r="AJ25" s="455"/>
      <c r="AZ25" s="276"/>
      <c r="BJ25" s="226"/>
      <c r="BK25" s="226"/>
      <c r="BL25" s="226"/>
      <c r="BO25" s="179"/>
      <c r="BP25" s="226"/>
      <c r="BQ25" s="277"/>
      <c r="BR25" s="278"/>
      <c r="BS25" s="226"/>
      <c r="BT25" s="279"/>
      <c r="BX25" s="226"/>
      <c r="BY25" s="226"/>
      <c r="BZ25" s="179"/>
      <c r="CA25" s="179"/>
      <c r="CB25" s="179"/>
      <c r="CC25" s="179"/>
    </row>
    <row r="26" spans="1:81" ht="13.8" thickBot="1" x14ac:dyDescent="0.3">
      <c r="A26" s="303" t="s">
        <v>27</v>
      </c>
      <c r="B26" s="284">
        <f>'Design Converter'!L7</f>
        <v>55</v>
      </c>
      <c r="C26" s="294" t="s">
        <v>96</v>
      </c>
      <c r="D26" s="201">
        <f>B26/1000000</f>
        <v>5.5000000000000002E-5</v>
      </c>
      <c r="E26" s="284" t="s">
        <v>258</v>
      </c>
      <c r="F26" s="304"/>
      <c r="G26" s="273"/>
      <c r="H26" s="177">
        <v>20</v>
      </c>
      <c r="I26" s="469">
        <f t="shared" si="0"/>
        <v>2.0000000000000004E-2</v>
      </c>
      <c r="J26" s="224"/>
      <c r="K26" s="224"/>
      <c r="L26" s="224"/>
      <c r="M26" s="224"/>
      <c r="N26" s="274"/>
      <c r="O26" s="179"/>
      <c r="P26" s="224"/>
      <c r="Q26" s="455"/>
      <c r="S26" s="275"/>
      <c r="T26" s="275"/>
      <c r="U26" s="275"/>
      <c r="AJ26" s="455"/>
      <c r="AZ26" s="276"/>
      <c r="BJ26" s="226"/>
      <c r="BK26" s="226"/>
      <c r="BL26" s="226"/>
      <c r="BO26" s="179"/>
      <c r="BP26" s="226"/>
      <c r="BQ26" s="277"/>
      <c r="BR26" s="278"/>
      <c r="BS26" s="226"/>
      <c r="BT26" s="279"/>
      <c r="BX26" s="226"/>
      <c r="BY26" s="226"/>
      <c r="BZ26" s="179"/>
      <c r="CA26" s="179"/>
      <c r="CB26" s="179"/>
      <c r="CC26" s="179"/>
    </row>
    <row r="27" spans="1:81" ht="13.8" thickBot="1" x14ac:dyDescent="0.3">
      <c r="A27" s="305" t="s">
        <v>398</v>
      </c>
      <c r="B27" s="306">
        <f>'Design Converter'!L8</f>
        <v>110</v>
      </c>
      <c r="C27" s="307" t="s">
        <v>259</v>
      </c>
      <c r="D27" s="201">
        <f>B27/1000</f>
        <v>0.11</v>
      </c>
      <c r="E27" s="284" t="s">
        <v>493</v>
      </c>
      <c r="F27" s="273"/>
      <c r="G27" s="273"/>
      <c r="H27" s="177">
        <v>21</v>
      </c>
      <c r="I27" s="469">
        <f t="shared" si="0"/>
        <v>2.1000000000000001E-2</v>
      </c>
      <c r="J27" s="224"/>
      <c r="K27" s="224"/>
      <c r="L27" s="224"/>
      <c r="M27" s="224"/>
      <c r="N27" s="274"/>
      <c r="O27" s="179"/>
      <c r="P27" s="224"/>
      <c r="Q27" s="455"/>
      <c r="S27" s="275"/>
      <c r="T27" s="275"/>
      <c r="U27" s="275"/>
      <c r="AJ27" s="455"/>
      <c r="AZ27" s="276"/>
      <c r="BJ27" s="226"/>
      <c r="BK27" s="226"/>
      <c r="BL27" s="226"/>
      <c r="BO27" s="179"/>
      <c r="BP27" s="226"/>
      <c r="BQ27" s="277"/>
      <c r="BR27" s="278"/>
      <c r="BS27" s="226"/>
      <c r="BT27" s="279"/>
      <c r="BX27" s="226"/>
      <c r="BY27" s="226"/>
      <c r="BZ27" s="179"/>
      <c r="CA27" s="179"/>
      <c r="CB27" s="179"/>
      <c r="CC27" s="179"/>
    </row>
    <row r="28" spans="1:81" ht="13.8" thickBot="1" x14ac:dyDescent="0.3">
      <c r="A28" s="305" t="s">
        <v>461</v>
      </c>
      <c r="B28" s="306">
        <f>'Design Converter'!L9</f>
        <v>35</v>
      </c>
      <c r="C28" s="307" t="s">
        <v>259</v>
      </c>
      <c r="D28" s="201">
        <f>B28/1000</f>
        <v>3.5000000000000003E-2</v>
      </c>
      <c r="E28" s="284" t="s">
        <v>677</v>
      </c>
      <c r="F28" s="273"/>
      <c r="G28" s="273"/>
      <c r="H28" s="177">
        <v>22</v>
      </c>
      <c r="I28" s="469">
        <f t="shared" si="0"/>
        <v>2.2000000000000002E-2</v>
      </c>
      <c r="J28" s="224"/>
      <c r="K28" s="224"/>
      <c r="L28" s="224"/>
      <c r="M28" s="224"/>
      <c r="N28" s="274"/>
      <c r="O28" s="179"/>
      <c r="P28" s="224"/>
      <c r="Q28" s="455"/>
      <c r="S28" s="275"/>
      <c r="T28" s="275"/>
      <c r="U28" s="275"/>
      <c r="AJ28" s="455"/>
      <c r="AZ28" s="276"/>
      <c r="BJ28" s="226"/>
      <c r="BK28" s="226"/>
      <c r="BL28" s="226"/>
      <c r="BO28" s="179"/>
      <c r="BP28" s="226"/>
      <c r="BQ28" s="277"/>
      <c r="BR28" s="278"/>
      <c r="BS28" s="226"/>
      <c r="BT28" s="279"/>
      <c r="BX28" s="226"/>
      <c r="BY28" s="226"/>
      <c r="BZ28" s="179"/>
      <c r="CA28" s="179"/>
      <c r="CB28" s="179"/>
      <c r="CC28" s="179"/>
    </row>
    <row r="29" spans="1:81" ht="13.8" thickBot="1" x14ac:dyDescent="0.3">
      <c r="A29" s="308" t="s">
        <v>260</v>
      </c>
      <c r="B29" s="309">
        <v>4.9999999999999998E-8</v>
      </c>
      <c r="C29" s="307"/>
      <c r="D29" s="310">
        <f>B29</f>
        <v>4.9999999999999998E-8</v>
      </c>
      <c r="E29" s="311" t="s">
        <v>492</v>
      </c>
      <c r="F29" s="273"/>
      <c r="G29" s="273"/>
      <c r="H29" s="177">
        <v>23</v>
      </c>
      <c r="I29" s="469">
        <f t="shared" si="0"/>
        <v>2.3000000000000003E-2</v>
      </c>
      <c r="J29" s="224"/>
      <c r="K29" s="224"/>
      <c r="L29" s="224"/>
      <c r="M29" s="224"/>
      <c r="N29" s="274"/>
      <c r="O29" s="179"/>
      <c r="P29" s="224"/>
      <c r="Q29" s="455"/>
      <c r="S29" s="275"/>
      <c r="T29" s="275"/>
      <c r="U29" s="275"/>
      <c r="AJ29" s="455"/>
      <c r="AZ29" s="276"/>
      <c r="BJ29" s="226"/>
      <c r="BK29" s="226"/>
      <c r="BL29" s="226"/>
      <c r="BO29" s="179"/>
      <c r="BP29" s="226"/>
      <c r="BQ29" s="277"/>
      <c r="BR29" s="278"/>
      <c r="BS29" s="226"/>
      <c r="BT29" s="279"/>
      <c r="BX29" s="226"/>
      <c r="BY29" s="226"/>
      <c r="BZ29" s="179"/>
      <c r="CA29" s="179"/>
      <c r="CB29" s="179"/>
      <c r="CC29" s="179"/>
    </row>
    <row r="30" spans="1:81" ht="13.8" thickBot="1" x14ac:dyDescent="0.3">
      <c r="A30" s="312" t="s">
        <v>28</v>
      </c>
      <c r="B30" s="306">
        <f>'Design Converter'!E17</f>
        <v>2.2000000000000002</v>
      </c>
      <c r="C30" s="313" t="s">
        <v>97</v>
      </c>
      <c r="D30" s="314">
        <f>B30/1000000</f>
        <v>2.2000000000000001E-6</v>
      </c>
      <c r="E30" s="315" t="s">
        <v>60</v>
      </c>
      <c r="F30" s="273"/>
      <c r="G30" s="273"/>
      <c r="H30" s="177">
        <v>24</v>
      </c>
      <c r="I30" s="469">
        <f t="shared" si="0"/>
        <v>2.4E-2</v>
      </c>
      <c r="J30" s="224"/>
      <c r="K30" s="224"/>
      <c r="L30" s="224"/>
      <c r="M30" s="224"/>
      <c r="N30" s="274"/>
      <c r="O30" s="179"/>
      <c r="P30" s="224"/>
      <c r="Q30" s="455"/>
      <c r="S30" s="275"/>
      <c r="T30" s="275"/>
      <c r="U30" s="275"/>
      <c r="AJ30" s="455"/>
      <c r="AZ30" s="276"/>
      <c r="BJ30" s="226"/>
      <c r="BK30" s="226"/>
      <c r="BL30" s="226"/>
      <c r="BO30" s="179"/>
      <c r="BP30" s="226"/>
      <c r="BQ30" s="277"/>
      <c r="BR30" s="278"/>
      <c r="BS30" s="226"/>
      <c r="BT30" s="279"/>
      <c r="BX30" s="226"/>
      <c r="BY30" s="226"/>
      <c r="BZ30" s="179"/>
      <c r="CA30" s="179"/>
      <c r="CB30" s="179"/>
      <c r="CC30" s="179"/>
    </row>
    <row r="31" spans="1:81" ht="13.8" thickBot="1" x14ac:dyDescent="0.3">
      <c r="A31" s="308" t="s">
        <v>261</v>
      </c>
      <c r="B31" s="306">
        <f>'Design Converter'!E18</f>
        <v>5</v>
      </c>
      <c r="C31" s="307" t="s">
        <v>259</v>
      </c>
      <c r="D31" s="201">
        <f>B31/1000</f>
        <v>5.0000000000000001E-3</v>
      </c>
      <c r="E31" s="284" t="s">
        <v>262</v>
      </c>
      <c r="F31" s="273"/>
      <c r="G31" s="273"/>
      <c r="H31" s="177">
        <v>25</v>
      </c>
      <c r="I31" s="469">
        <f t="shared" si="0"/>
        <v>2.5000000000000001E-2</v>
      </c>
      <c r="J31" s="224"/>
      <c r="K31" s="224"/>
      <c r="L31" s="224"/>
      <c r="M31" s="224"/>
      <c r="N31" s="274"/>
      <c r="O31" s="179"/>
      <c r="P31" s="224"/>
      <c r="Q31" s="455"/>
      <c r="S31" s="275"/>
      <c r="T31" s="275"/>
      <c r="U31" s="275"/>
      <c r="AJ31" s="455"/>
      <c r="AZ31" s="276"/>
      <c r="BJ31" s="226"/>
      <c r="BK31" s="226"/>
      <c r="BL31" s="226"/>
      <c r="BO31" s="179"/>
      <c r="BP31" s="226"/>
      <c r="BQ31" s="277"/>
      <c r="BR31" s="278"/>
      <c r="BS31" s="226"/>
      <c r="BT31" s="279"/>
      <c r="BX31" s="226"/>
      <c r="BY31" s="226"/>
      <c r="BZ31" s="179"/>
      <c r="CA31" s="179"/>
      <c r="CB31" s="179"/>
      <c r="CC31" s="179"/>
    </row>
    <row r="32" spans="1:81" ht="13.8" thickBot="1" x14ac:dyDescent="0.3">
      <c r="A32" s="303" t="s">
        <v>14</v>
      </c>
      <c r="B32" s="365">
        <f>'Design Converter'!E21</f>
        <v>88</v>
      </c>
      <c r="C32" s="294" t="s">
        <v>97</v>
      </c>
      <c r="D32" s="295">
        <f>B32/1000000</f>
        <v>8.7999999999999998E-5</v>
      </c>
      <c r="E32" s="284" t="s">
        <v>263</v>
      </c>
      <c r="F32" s="273"/>
      <c r="G32" s="273"/>
      <c r="H32" s="177">
        <v>26</v>
      </c>
      <c r="I32" s="469">
        <f t="shared" si="0"/>
        <v>2.6000000000000002E-2</v>
      </c>
      <c r="J32" s="224"/>
      <c r="K32" s="224"/>
      <c r="L32" s="224"/>
      <c r="M32" s="224"/>
      <c r="N32" s="274"/>
      <c r="O32" s="179"/>
      <c r="P32" s="224"/>
      <c r="Q32" s="455"/>
      <c r="S32" s="275"/>
      <c r="T32" s="275"/>
      <c r="U32" s="275"/>
      <c r="AJ32" s="455"/>
      <c r="AZ32" s="276"/>
      <c r="BJ32" s="226"/>
      <c r="BK32" s="226"/>
      <c r="BL32" s="226"/>
      <c r="BO32" s="179"/>
      <c r="BP32" s="226"/>
      <c r="BQ32" s="277"/>
      <c r="BR32" s="278"/>
      <c r="BS32" s="226"/>
      <c r="BT32" s="279"/>
      <c r="BX32" s="226"/>
      <c r="BY32" s="226"/>
      <c r="BZ32" s="179"/>
      <c r="CA32" s="179"/>
      <c r="CB32" s="179"/>
      <c r="CC32" s="179"/>
    </row>
    <row r="33" spans="1:81" x14ac:dyDescent="0.25">
      <c r="A33" s="308" t="s">
        <v>264</v>
      </c>
      <c r="B33" s="365">
        <f>'Design Converter'!E22</f>
        <v>3</v>
      </c>
      <c r="C33" s="307" t="s">
        <v>259</v>
      </c>
      <c r="D33" s="201">
        <f>B33/1000</f>
        <v>3.0000000000000001E-3</v>
      </c>
      <c r="E33" s="284" t="s">
        <v>265</v>
      </c>
      <c r="F33" s="273"/>
      <c r="G33" s="273"/>
      <c r="H33" s="177">
        <v>27</v>
      </c>
      <c r="I33" s="469">
        <f t="shared" si="0"/>
        <v>2.7000000000000003E-2</v>
      </c>
      <c r="J33" s="224"/>
      <c r="K33" s="224"/>
      <c r="L33" s="224"/>
      <c r="M33" s="224"/>
      <c r="N33" s="274"/>
      <c r="O33" s="179"/>
      <c r="P33" s="224"/>
      <c r="Q33" s="455"/>
      <c r="S33" s="275"/>
      <c r="T33" s="275"/>
      <c r="U33" s="275"/>
      <c r="AJ33" s="455"/>
      <c r="AZ33" s="276"/>
      <c r="BJ33" s="226"/>
      <c r="BK33" s="226"/>
      <c r="BL33" s="226"/>
      <c r="BO33" s="179"/>
      <c r="BP33" s="226"/>
      <c r="BQ33" s="277"/>
      <c r="BR33" s="278"/>
      <c r="BS33" s="226"/>
      <c r="BT33" s="279"/>
      <c r="BX33" s="226"/>
      <c r="BY33" s="226"/>
      <c r="BZ33" s="179"/>
      <c r="CA33" s="179"/>
      <c r="CB33" s="179"/>
      <c r="CC33" s="179"/>
    </row>
    <row r="34" spans="1:81" x14ac:dyDescent="0.25">
      <c r="A34" s="316" t="s">
        <v>407</v>
      </c>
      <c r="B34" s="270"/>
      <c r="C34" s="316" t="s">
        <v>33</v>
      </c>
      <c r="D34" s="317" t="s">
        <v>90</v>
      </c>
      <c r="E34" s="318" t="s">
        <v>41</v>
      </c>
      <c r="F34" s="273"/>
      <c r="G34" s="273"/>
      <c r="H34" s="177">
        <v>28</v>
      </c>
      <c r="I34" s="469">
        <f t="shared" si="0"/>
        <v>2.8000000000000004E-2</v>
      </c>
      <c r="J34" s="224"/>
      <c r="K34" s="224"/>
      <c r="L34" s="224"/>
      <c r="M34" s="224"/>
      <c r="N34" s="274"/>
      <c r="O34" s="179"/>
      <c r="P34" s="224"/>
      <c r="Q34" s="455"/>
      <c r="S34" s="275"/>
      <c r="T34" s="275"/>
      <c r="U34" s="275"/>
      <c r="AJ34" s="455"/>
      <c r="AZ34" s="276"/>
      <c r="BJ34" s="226"/>
      <c r="BK34" s="226"/>
      <c r="BL34" s="226"/>
      <c r="BO34" s="179"/>
      <c r="BP34" s="226"/>
      <c r="BQ34" s="277"/>
      <c r="BR34" s="278"/>
      <c r="BS34" s="226"/>
      <c r="BT34" s="279"/>
      <c r="BX34" s="226"/>
      <c r="BY34" s="226"/>
      <c r="BZ34" s="179"/>
      <c r="CA34" s="179"/>
      <c r="CB34" s="179"/>
      <c r="CC34" s="179"/>
    </row>
    <row r="35" spans="1:81" x14ac:dyDescent="0.25">
      <c r="A35" s="305" t="s">
        <v>412</v>
      </c>
      <c r="B35" s="319">
        <v>1.45</v>
      </c>
      <c r="C35" s="294" t="s">
        <v>1</v>
      </c>
      <c r="D35" s="276">
        <f>B35</f>
        <v>1.45</v>
      </c>
      <c r="E35" s="195" t="s">
        <v>411</v>
      </c>
      <c r="F35" s="273"/>
      <c r="G35" s="273"/>
      <c r="H35" s="177">
        <v>29</v>
      </c>
      <c r="I35" s="469">
        <f t="shared" si="0"/>
        <v>2.8999999999999998E-2</v>
      </c>
      <c r="J35" s="224"/>
      <c r="K35" s="224"/>
      <c r="L35" s="224"/>
      <c r="M35" s="224"/>
      <c r="N35" s="274"/>
      <c r="O35" s="179"/>
      <c r="P35" s="224"/>
      <c r="Q35" s="455"/>
      <c r="S35" s="275"/>
      <c r="T35" s="275"/>
      <c r="U35" s="275"/>
      <c r="AJ35" s="455"/>
      <c r="AZ35" s="276"/>
      <c r="BJ35" s="226"/>
      <c r="BK35" s="226"/>
      <c r="BL35" s="226"/>
      <c r="BO35" s="179"/>
      <c r="BP35" s="226"/>
      <c r="BQ35" s="277"/>
      <c r="BR35" s="278"/>
      <c r="BS35" s="226"/>
      <c r="BT35" s="279"/>
      <c r="BX35" s="226"/>
      <c r="BY35" s="226"/>
      <c r="BZ35" s="179"/>
      <c r="CA35" s="179"/>
      <c r="CB35" s="179"/>
      <c r="CC35" s="179"/>
    </row>
    <row r="36" spans="1:81" ht="13.8" thickBot="1" x14ac:dyDescent="0.3">
      <c r="A36" s="305" t="s">
        <v>420</v>
      </c>
      <c r="B36" s="319">
        <f>B35/5</f>
        <v>0.28999999999999998</v>
      </c>
      <c r="C36" s="294" t="s">
        <v>1</v>
      </c>
      <c r="D36" s="276">
        <f>B36</f>
        <v>0.28999999999999998</v>
      </c>
      <c r="E36" s="195" t="s">
        <v>421</v>
      </c>
      <c r="F36" s="273"/>
      <c r="G36" s="273"/>
      <c r="H36" s="177">
        <v>30</v>
      </c>
      <c r="I36" s="469">
        <f t="shared" si="0"/>
        <v>0.03</v>
      </c>
      <c r="J36" s="224"/>
      <c r="K36" s="224"/>
      <c r="L36" s="224"/>
      <c r="M36" s="224"/>
      <c r="N36" s="274"/>
      <c r="O36" s="179"/>
      <c r="P36" s="224"/>
      <c r="Q36" s="455"/>
      <c r="S36" s="275"/>
      <c r="T36" s="275"/>
      <c r="U36" s="275"/>
      <c r="AJ36" s="455"/>
      <c r="AZ36" s="276"/>
      <c r="BJ36" s="226"/>
      <c r="BK36" s="226"/>
      <c r="BL36" s="226"/>
      <c r="BO36" s="179"/>
      <c r="BP36" s="226"/>
      <c r="BQ36" s="277"/>
      <c r="BR36" s="278"/>
      <c r="BS36" s="226"/>
      <c r="BT36" s="279"/>
      <c r="BX36" s="226"/>
      <c r="BY36" s="226"/>
      <c r="BZ36" s="179"/>
      <c r="CA36" s="179"/>
      <c r="CB36" s="179"/>
      <c r="CC36" s="179"/>
    </row>
    <row r="37" spans="1:81" ht="13.8" thickBot="1" x14ac:dyDescent="0.3">
      <c r="A37" s="320" t="s">
        <v>47</v>
      </c>
      <c r="B37" s="545">
        <v>1</v>
      </c>
      <c r="C37" s="294"/>
      <c r="D37" s="276">
        <f>B37</f>
        <v>1</v>
      </c>
      <c r="E37" s="195" t="s">
        <v>422</v>
      </c>
      <c r="F37" s="273"/>
      <c r="G37" s="273"/>
      <c r="H37" s="177">
        <v>31</v>
      </c>
      <c r="I37" s="469">
        <f t="shared" si="0"/>
        <v>3.1E-2</v>
      </c>
      <c r="J37" s="224"/>
      <c r="K37" s="224"/>
      <c r="L37" s="224"/>
      <c r="M37" s="224"/>
      <c r="N37" s="274"/>
      <c r="O37" s="179"/>
      <c r="P37" s="224"/>
      <c r="Q37" s="455"/>
      <c r="S37" s="275"/>
      <c r="T37" s="275"/>
      <c r="U37" s="275"/>
      <c r="AJ37" s="455"/>
      <c r="AZ37" s="276"/>
      <c r="BJ37" s="226"/>
      <c r="BK37" s="226"/>
      <c r="BL37" s="226"/>
      <c r="BO37" s="179"/>
      <c r="BP37" s="226"/>
      <c r="BQ37" s="277"/>
      <c r="BR37" s="278"/>
      <c r="BS37" s="226"/>
      <c r="BT37" s="279"/>
      <c r="BX37" s="226"/>
      <c r="BY37" s="226"/>
      <c r="BZ37" s="179"/>
      <c r="CA37" s="179"/>
      <c r="CB37" s="179"/>
      <c r="CC37" s="179"/>
    </row>
    <row r="38" spans="1:81" x14ac:dyDescent="0.25">
      <c r="A38" s="305" t="s">
        <v>24</v>
      </c>
      <c r="B38" s="321">
        <v>290</v>
      </c>
      <c r="C38" s="294" t="s">
        <v>266</v>
      </c>
      <c r="D38" s="296">
        <f>B38/1000000</f>
        <v>2.9E-4</v>
      </c>
      <c r="E38" s="284" t="s">
        <v>494</v>
      </c>
      <c r="H38" s="177">
        <v>32</v>
      </c>
      <c r="I38" s="469">
        <f t="shared" ref="I38:I69" si="24">IF(PLOT_TYPE=1, H38/100*Iout_max, min_I*EXP(H38*rr/100))</f>
        <v>3.2000000000000001E-2</v>
      </c>
      <c r="J38" s="224"/>
      <c r="K38" s="224"/>
      <c r="L38" s="224"/>
      <c r="M38" s="224"/>
      <c r="N38" s="274"/>
      <c r="O38" s="179"/>
      <c r="P38" s="224"/>
      <c r="Q38" s="455"/>
      <c r="S38" s="275"/>
      <c r="T38" s="275"/>
      <c r="U38" s="275"/>
      <c r="AJ38" s="455"/>
      <c r="AZ38" s="276"/>
      <c r="BJ38" s="226"/>
      <c r="BK38" s="226"/>
      <c r="BL38" s="226"/>
      <c r="BO38" s="179"/>
      <c r="BP38" s="226"/>
      <c r="BQ38" s="277"/>
      <c r="BR38" s="278"/>
      <c r="BS38" s="226"/>
      <c r="BT38" s="279"/>
      <c r="BX38" s="226"/>
      <c r="BY38" s="226"/>
      <c r="BZ38" s="179"/>
      <c r="CA38" s="179"/>
      <c r="CB38" s="179"/>
      <c r="CC38" s="179"/>
    </row>
    <row r="39" spans="1:81" ht="13.8" thickBot="1" x14ac:dyDescent="0.3">
      <c r="A39" s="316" t="s">
        <v>404</v>
      </c>
      <c r="B39" s="322"/>
      <c r="C39" s="316" t="s">
        <v>33</v>
      </c>
      <c r="D39" s="317" t="s">
        <v>90</v>
      </c>
      <c r="E39" s="323" t="s">
        <v>41</v>
      </c>
      <c r="H39" s="177">
        <v>33</v>
      </c>
      <c r="I39" s="469">
        <f t="shared" si="24"/>
        <v>3.3000000000000002E-2</v>
      </c>
      <c r="J39" s="224"/>
      <c r="K39" s="224"/>
      <c r="L39" s="224"/>
      <c r="M39" s="224"/>
      <c r="N39" s="274"/>
      <c r="O39" s="179"/>
      <c r="P39" s="224"/>
      <c r="Q39" s="455"/>
      <c r="S39" s="275"/>
      <c r="T39" s="275"/>
      <c r="U39" s="275"/>
      <c r="AJ39" s="455"/>
      <c r="AZ39" s="276"/>
      <c r="BJ39" s="226"/>
      <c r="BK39" s="226"/>
      <c r="BL39" s="226"/>
      <c r="BO39" s="179"/>
      <c r="BP39" s="226"/>
      <c r="BQ39" s="277"/>
      <c r="BR39" s="278"/>
      <c r="BS39" s="226"/>
      <c r="BT39" s="279"/>
      <c r="BX39" s="226"/>
      <c r="BY39" s="226"/>
      <c r="BZ39" s="179"/>
      <c r="CA39" s="179"/>
      <c r="CB39" s="179"/>
      <c r="CC39" s="179"/>
    </row>
    <row r="40" spans="1:81" ht="13.8" thickBot="1" x14ac:dyDescent="0.3">
      <c r="A40" s="324" t="s">
        <v>405</v>
      </c>
      <c r="B40" s="325">
        <v>350</v>
      </c>
      <c r="C40" s="285" t="s">
        <v>259</v>
      </c>
      <c r="D40" s="178">
        <f>B40/1000</f>
        <v>0.35</v>
      </c>
      <c r="E40" s="284" t="s">
        <v>409</v>
      </c>
      <c r="H40" s="177">
        <v>34</v>
      </c>
      <c r="I40" s="469">
        <f t="shared" si="24"/>
        <v>3.4000000000000002E-2</v>
      </c>
      <c r="J40" s="224"/>
      <c r="K40" s="224"/>
      <c r="L40" s="224"/>
      <c r="M40" s="224"/>
      <c r="N40" s="274"/>
      <c r="O40" s="179"/>
      <c r="P40" s="224"/>
      <c r="Q40" s="455"/>
      <c r="S40" s="275"/>
      <c r="T40" s="275"/>
      <c r="U40" s="275"/>
      <c r="AJ40" s="455"/>
      <c r="AZ40" s="276"/>
      <c r="BJ40" s="226"/>
      <c r="BK40" s="226"/>
      <c r="BL40" s="226"/>
      <c r="BO40" s="179"/>
      <c r="BP40" s="226"/>
      <c r="BQ40" s="277"/>
      <c r="BR40" s="278"/>
      <c r="BS40" s="226"/>
      <c r="BT40" s="279"/>
      <c r="BX40" s="226"/>
      <c r="BY40" s="226"/>
      <c r="BZ40" s="179"/>
      <c r="CA40" s="179"/>
      <c r="CB40" s="179"/>
      <c r="CC40" s="179"/>
    </row>
    <row r="41" spans="1:81" ht="13.8" thickBot="1" x14ac:dyDescent="0.3">
      <c r="A41" s="305" t="s">
        <v>267</v>
      </c>
      <c r="B41" s="326"/>
      <c r="C41" s="327" t="s">
        <v>268</v>
      </c>
      <c r="D41" s="178"/>
      <c r="E41" s="284" t="s">
        <v>267</v>
      </c>
      <c r="H41" s="177">
        <v>35</v>
      </c>
      <c r="I41" s="469">
        <f t="shared" si="24"/>
        <v>3.4999999999999996E-2</v>
      </c>
      <c r="J41" s="224"/>
      <c r="K41" s="224"/>
      <c r="L41" s="224"/>
      <c r="M41" s="224"/>
      <c r="N41" s="274"/>
      <c r="O41" s="179"/>
      <c r="P41" s="224"/>
      <c r="Q41" s="455"/>
      <c r="S41" s="275"/>
      <c r="T41" s="275"/>
      <c r="U41" s="275"/>
      <c r="AJ41" s="455"/>
      <c r="AZ41" s="276"/>
      <c r="BJ41" s="226"/>
      <c r="BK41" s="226"/>
      <c r="BL41" s="226"/>
      <c r="BO41" s="179"/>
      <c r="BP41" s="226"/>
      <c r="BQ41" s="277"/>
      <c r="BR41" s="278"/>
      <c r="BS41" s="226"/>
      <c r="BT41" s="279"/>
      <c r="BX41" s="226"/>
      <c r="BY41" s="226"/>
      <c r="BZ41" s="179"/>
      <c r="CA41" s="179"/>
      <c r="CB41" s="179"/>
      <c r="CC41" s="179"/>
    </row>
    <row r="42" spans="1:81" ht="13.8" thickBot="1" x14ac:dyDescent="0.3">
      <c r="A42" s="305" t="s">
        <v>406</v>
      </c>
      <c r="B42" s="325">
        <v>2.5</v>
      </c>
      <c r="C42" s="294" t="s">
        <v>31</v>
      </c>
      <c r="D42" s="178">
        <f>B42/1000000000</f>
        <v>2.5000000000000001E-9</v>
      </c>
      <c r="E42" s="284" t="s">
        <v>408</v>
      </c>
      <c r="H42" s="177">
        <v>36</v>
      </c>
      <c r="I42" s="469">
        <f t="shared" si="24"/>
        <v>3.5999999999999997E-2</v>
      </c>
      <c r="J42" s="224"/>
      <c r="K42" s="224"/>
      <c r="L42" s="224"/>
      <c r="M42" s="224"/>
      <c r="N42" s="274"/>
      <c r="O42" s="179"/>
      <c r="P42" s="224"/>
      <c r="Q42" s="455"/>
      <c r="S42" s="275"/>
      <c r="T42" s="275"/>
      <c r="U42" s="275"/>
      <c r="AJ42" s="455"/>
      <c r="AZ42" s="276"/>
      <c r="BJ42" s="226"/>
      <c r="BK42" s="226"/>
      <c r="BL42" s="226"/>
      <c r="BO42" s="179"/>
      <c r="BP42" s="226"/>
      <c r="BQ42" s="277"/>
      <c r="BR42" s="278"/>
      <c r="BS42" s="226"/>
      <c r="BT42" s="279"/>
      <c r="BX42" s="226"/>
      <c r="BY42" s="226"/>
      <c r="BZ42" s="179"/>
      <c r="CA42" s="179"/>
      <c r="CB42" s="179"/>
      <c r="CC42" s="179"/>
    </row>
    <row r="43" spans="1:81" ht="13.8" thickBot="1" x14ac:dyDescent="0.3">
      <c r="A43" s="308" t="s">
        <v>241</v>
      </c>
      <c r="B43" s="325">
        <v>50</v>
      </c>
      <c r="C43" s="294" t="s">
        <v>15</v>
      </c>
      <c r="D43" s="328">
        <f>B43/1000000000000</f>
        <v>5.0000000000000002E-11</v>
      </c>
      <c r="E43" s="284" t="s">
        <v>330</v>
      </c>
      <c r="H43" s="177">
        <v>37</v>
      </c>
      <c r="I43" s="469">
        <f t="shared" si="24"/>
        <v>3.6999999999999998E-2</v>
      </c>
      <c r="J43" s="224"/>
      <c r="K43" s="224"/>
      <c r="L43" s="224"/>
      <c r="M43" s="224"/>
      <c r="N43" s="274"/>
      <c r="O43" s="179"/>
      <c r="P43" s="224"/>
      <c r="Q43" s="455"/>
      <c r="S43" s="275"/>
      <c r="T43" s="275"/>
      <c r="U43" s="275"/>
      <c r="AJ43" s="455"/>
      <c r="AZ43" s="276"/>
      <c r="BJ43" s="226"/>
      <c r="BK43" s="226"/>
      <c r="BL43" s="226"/>
      <c r="BO43" s="179"/>
      <c r="BP43" s="226"/>
      <c r="BQ43" s="277"/>
      <c r="BR43" s="278"/>
      <c r="BS43" s="226"/>
      <c r="BT43" s="279"/>
      <c r="BX43" s="226"/>
      <c r="BY43" s="226"/>
      <c r="BZ43" s="179"/>
      <c r="CA43" s="179"/>
      <c r="CB43" s="179"/>
      <c r="CC43" s="179"/>
    </row>
    <row r="44" spans="1:81" x14ac:dyDescent="0.25">
      <c r="A44" s="331" t="s">
        <v>329</v>
      </c>
      <c r="B44" s="325">
        <v>65</v>
      </c>
      <c r="C44" s="294" t="s">
        <v>15</v>
      </c>
      <c r="D44" s="296">
        <f>B44/1000000000000</f>
        <v>6.4999999999999995E-11</v>
      </c>
      <c r="E44" s="284" t="s">
        <v>485</v>
      </c>
      <c r="H44" s="177">
        <v>38</v>
      </c>
      <c r="I44" s="469">
        <f t="shared" si="24"/>
        <v>3.8000000000000006E-2</v>
      </c>
      <c r="J44" s="224"/>
      <c r="K44" s="224"/>
      <c r="L44" s="224"/>
      <c r="M44" s="224"/>
      <c r="N44" s="274"/>
      <c r="O44" s="179"/>
      <c r="P44" s="224"/>
      <c r="Q44" s="455"/>
      <c r="S44" s="275"/>
      <c r="T44" s="275"/>
      <c r="U44" s="275"/>
      <c r="AJ44" s="455"/>
      <c r="AZ44" s="276"/>
      <c r="BJ44" s="226"/>
      <c r="BK44" s="226"/>
      <c r="BL44" s="226"/>
      <c r="BO44" s="179"/>
      <c r="BP44" s="226"/>
      <c r="BQ44" s="277"/>
      <c r="BR44" s="278"/>
      <c r="BS44" s="226"/>
      <c r="BT44" s="279"/>
      <c r="BX44" s="226"/>
      <c r="BY44" s="226"/>
      <c r="BZ44" s="179"/>
      <c r="CA44" s="179"/>
      <c r="CB44" s="179"/>
      <c r="CC44" s="179"/>
    </row>
    <row r="45" spans="1:81" ht="13.8" thickBot="1" x14ac:dyDescent="0.3">
      <c r="A45" s="316" t="s">
        <v>410</v>
      </c>
      <c r="B45" s="329"/>
      <c r="C45" s="316" t="s">
        <v>33</v>
      </c>
      <c r="D45" s="317" t="s">
        <v>90</v>
      </c>
      <c r="E45" s="330" t="s">
        <v>41</v>
      </c>
      <c r="H45" s="177">
        <v>39</v>
      </c>
      <c r="I45" s="469">
        <f t="shared" si="24"/>
        <v>3.9000000000000007E-2</v>
      </c>
      <c r="J45" s="224"/>
      <c r="K45" s="224"/>
      <c r="L45" s="224"/>
      <c r="M45" s="224"/>
      <c r="N45" s="274"/>
      <c r="O45" s="179"/>
      <c r="P45" s="224"/>
      <c r="Q45" s="455"/>
      <c r="S45" s="275"/>
      <c r="T45" s="275"/>
      <c r="U45" s="275"/>
      <c r="AJ45" s="455"/>
      <c r="AZ45" s="276"/>
      <c r="BJ45" s="226"/>
      <c r="BK45" s="226"/>
      <c r="BL45" s="226"/>
      <c r="BO45" s="179"/>
      <c r="BP45" s="226"/>
      <c r="BQ45" s="277"/>
      <c r="BR45" s="278"/>
      <c r="BS45" s="226"/>
      <c r="BT45" s="279"/>
      <c r="BX45" s="226"/>
      <c r="BY45" s="226"/>
      <c r="BZ45" s="179"/>
      <c r="CA45" s="179"/>
      <c r="CB45" s="179"/>
      <c r="CC45" s="179"/>
    </row>
    <row r="46" spans="1:81" ht="13.8" thickBot="1" x14ac:dyDescent="0.3">
      <c r="A46" s="324" t="s">
        <v>675</v>
      </c>
      <c r="B46" s="325">
        <f>'Design Converter'!E41</f>
        <v>0.25</v>
      </c>
      <c r="C46" s="282" t="s">
        <v>0</v>
      </c>
      <c r="D46" s="178">
        <f>B46</f>
        <v>0.25</v>
      </c>
      <c r="E46" s="284" t="s">
        <v>674</v>
      </c>
      <c r="H46" s="177">
        <v>40</v>
      </c>
      <c r="I46" s="469">
        <f t="shared" si="24"/>
        <v>4.0000000000000008E-2</v>
      </c>
      <c r="J46" s="224"/>
      <c r="K46" s="224"/>
      <c r="L46" s="224"/>
      <c r="M46" s="224"/>
      <c r="N46" s="274"/>
      <c r="O46" s="179"/>
      <c r="P46" s="224"/>
      <c r="Q46" s="455"/>
      <c r="S46" s="275"/>
      <c r="T46" s="275"/>
      <c r="U46" s="275"/>
      <c r="AJ46" s="455"/>
      <c r="AZ46" s="276"/>
      <c r="BJ46" s="226"/>
      <c r="BK46" s="226"/>
      <c r="BL46" s="226"/>
      <c r="BO46" s="179"/>
      <c r="BP46" s="226"/>
      <c r="BQ46" s="277"/>
      <c r="BR46" s="278"/>
      <c r="BS46" s="226"/>
      <c r="BT46" s="279"/>
      <c r="BX46" s="226"/>
      <c r="BY46" s="226"/>
      <c r="BZ46" s="179"/>
      <c r="CA46" s="179"/>
      <c r="CB46" s="179"/>
      <c r="CC46" s="179"/>
    </row>
    <row r="47" spans="1:81" ht="13.8" thickBot="1" x14ac:dyDescent="0.3">
      <c r="A47" s="324" t="s">
        <v>676</v>
      </c>
      <c r="B47" s="325">
        <f>'Design Converter'!E42</f>
        <v>0.35</v>
      </c>
      <c r="C47" s="282" t="s">
        <v>0</v>
      </c>
      <c r="D47" s="178">
        <f>B47</f>
        <v>0.35</v>
      </c>
      <c r="E47" s="284" t="s">
        <v>673</v>
      </c>
      <c r="H47" s="177">
        <v>41</v>
      </c>
      <c r="I47" s="469">
        <f t="shared" si="24"/>
        <v>4.1000000000000002E-2</v>
      </c>
      <c r="J47" s="224"/>
      <c r="K47" s="224"/>
      <c r="L47" s="224"/>
      <c r="M47" s="224"/>
      <c r="N47" s="274"/>
      <c r="O47" s="179"/>
      <c r="P47" s="224"/>
      <c r="Q47" s="455"/>
      <c r="S47" s="275"/>
      <c r="T47" s="275"/>
      <c r="U47" s="275"/>
      <c r="AJ47" s="455"/>
      <c r="AZ47" s="276"/>
      <c r="BJ47" s="226"/>
      <c r="BK47" s="226"/>
      <c r="BL47" s="226"/>
      <c r="BO47" s="179"/>
      <c r="BP47" s="226"/>
      <c r="BQ47" s="277"/>
      <c r="BR47" s="278"/>
      <c r="BS47" s="226"/>
      <c r="BT47" s="279"/>
      <c r="BX47" s="226"/>
      <c r="BY47" s="226"/>
      <c r="BZ47" s="179"/>
      <c r="CA47" s="179"/>
      <c r="CB47" s="179"/>
      <c r="CC47" s="179"/>
    </row>
    <row r="48" spans="1:81" ht="13.8" thickBot="1" x14ac:dyDescent="0.3">
      <c r="A48" s="324" t="s">
        <v>269</v>
      </c>
      <c r="B48" s="325">
        <v>100</v>
      </c>
      <c r="C48" s="285" t="s">
        <v>259</v>
      </c>
      <c r="D48" s="178">
        <f>B48*0.001</f>
        <v>0.1</v>
      </c>
      <c r="E48" s="284" t="s">
        <v>270</v>
      </c>
      <c r="H48" s="177">
        <v>42</v>
      </c>
      <c r="I48" s="469">
        <f t="shared" si="24"/>
        <v>4.2000000000000003E-2</v>
      </c>
      <c r="J48" s="224"/>
      <c r="K48" s="224"/>
      <c r="L48" s="224"/>
      <c r="M48" s="224"/>
      <c r="N48" s="274"/>
      <c r="O48" s="179"/>
      <c r="P48" s="224"/>
      <c r="Q48" s="455"/>
      <c r="S48" s="275"/>
      <c r="T48" s="275"/>
      <c r="U48" s="275"/>
      <c r="AJ48" s="455"/>
      <c r="AZ48" s="276"/>
      <c r="BJ48" s="226"/>
      <c r="BK48" s="226"/>
      <c r="BL48" s="226"/>
      <c r="BO48" s="179"/>
      <c r="BP48" s="226"/>
      <c r="BQ48" s="277"/>
      <c r="BR48" s="278"/>
      <c r="BS48" s="226"/>
      <c r="BT48" s="279"/>
      <c r="BX48" s="226"/>
      <c r="BY48" s="226"/>
      <c r="BZ48" s="179"/>
      <c r="CA48" s="179"/>
      <c r="CB48" s="179"/>
      <c r="CC48" s="179"/>
    </row>
    <row r="49" spans="1:81" ht="13.8" thickBot="1" x14ac:dyDescent="0.3">
      <c r="A49" s="305" t="s">
        <v>413</v>
      </c>
      <c r="B49" s="325">
        <v>2</v>
      </c>
      <c r="C49" s="294" t="s">
        <v>31</v>
      </c>
      <c r="D49" s="296">
        <f>B49*0.000000001</f>
        <v>2.0000000000000001E-9</v>
      </c>
      <c r="E49" s="284" t="s">
        <v>271</v>
      </c>
      <c r="H49" s="177">
        <v>43</v>
      </c>
      <c r="I49" s="469">
        <f t="shared" si="24"/>
        <v>4.3000000000000003E-2</v>
      </c>
      <c r="J49" s="224"/>
      <c r="K49" s="224"/>
      <c r="L49" s="224"/>
      <c r="M49" s="224"/>
      <c r="N49" s="274"/>
      <c r="O49" s="179"/>
      <c r="P49" s="224"/>
      <c r="Q49" s="455"/>
      <c r="S49" s="275"/>
      <c r="T49" s="275"/>
      <c r="U49" s="275"/>
      <c r="AJ49" s="455"/>
      <c r="AZ49" s="276"/>
      <c r="BJ49" s="226"/>
      <c r="BK49" s="226"/>
      <c r="BL49" s="226"/>
      <c r="BO49" s="179"/>
      <c r="BP49" s="226"/>
      <c r="BQ49" s="277"/>
      <c r="BR49" s="278"/>
      <c r="BS49" s="226"/>
      <c r="BT49" s="279"/>
      <c r="BX49" s="226"/>
      <c r="BY49" s="226"/>
      <c r="BZ49" s="179"/>
      <c r="CA49" s="179"/>
      <c r="CB49" s="179"/>
      <c r="CC49" s="179"/>
    </row>
    <row r="50" spans="1:81" ht="13.8" thickBot="1" x14ac:dyDescent="0.3">
      <c r="A50" s="305" t="s">
        <v>414</v>
      </c>
      <c r="B50" s="325">
        <v>10</v>
      </c>
      <c r="C50" s="294" t="s">
        <v>32</v>
      </c>
      <c r="D50" s="296">
        <f>B50*0.000000001</f>
        <v>1E-8</v>
      </c>
      <c r="E50" s="284" t="s">
        <v>272</v>
      </c>
      <c r="H50" s="177">
        <v>44</v>
      </c>
      <c r="I50" s="469">
        <f t="shared" si="24"/>
        <v>4.4000000000000004E-2</v>
      </c>
      <c r="J50" s="224"/>
      <c r="K50" s="224"/>
      <c r="L50" s="224"/>
      <c r="M50" s="224"/>
      <c r="N50" s="274"/>
      <c r="O50" s="179"/>
      <c r="P50" s="224"/>
      <c r="Q50" s="455"/>
      <c r="S50" s="275"/>
      <c r="T50" s="275"/>
      <c r="U50" s="275"/>
      <c r="AJ50" s="455"/>
      <c r="AZ50" s="276"/>
      <c r="BJ50" s="226"/>
      <c r="BK50" s="226"/>
      <c r="BL50" s="226"/>
      <c r="BO50" s="179"/>
      <c r="BP50" s="226"/>
      <c r="BQ50" s="277"/>
      <c r="BR50" s="278"/>
      <c r="BS50" s="226"/>
      <c r="BT50" s="279"/>
      <c r="BX50" s="226"/>
      <c r="BY50" s="226"/>
      <c r="BZ50" s="179"/>
      <c r="CA50" s="179"/>
      <c r="CB50" s="179"/>
      <c r="CC50" s="179"/>
    </row>
    <row r="51" spans="1:81" x14ac:dyDescent="0.25">
      <c r="A51" s="331" t="s">
        <v>503</v>
      </c>
      <c r="B51" s="325">
        <v>0</v>
      </c>
      <c r="C51" s="282" t="s">
        <v>273</v>
      </c>
      <c r="D51" s="296">
        <f>B51/1000000</f>
        <v>0</v>
      </c>
      <c r="E51" s="284" t="s">
        <v>274</v>
      </c>
      <c r="H51" s="177">
        <v>45</v>
      </c>
      <c r="I51" s="469">
        <f t="shared" si="24"/>
        <v>4.5000000000000005E-2</v>
      </c>
      <c r="J51" s="224"/>
      <c r="K51" s="224"/>
      <c r="L51" s="224"/>
      <c r="M51" s="224"/>
      <c r="N51" s="274"/>
      <c r="O51" s="179"/>
      <c r="P51" s="224"/>
      <c r="Q51" s="455"/>
      <c r="S51" s="275"/>
      <c r="T51" s="275"/>
      <c r="U51" s="275"/>
      <c r="AJ51" s="455"/>
      <c r="AZ51" s="276"/>
      <c r="BJ51" s="226"/>
      <c r="BK51" s="226"/>
      <c r="BL51" s="226"/>
      <c r="BO51" s="179"/>
      <c r="BP51" s="226"/>
      <c r="BQ51" s="277"/>
      <c r="BR51" s="278"/>
      <c r="BS51" s="226"/>
      <c r="BT51" s="279"/>
      <c r="BX51" s="226"/>
      <c r="BY51" s="226"/>
      <c r="BZ51" s="179"/>
      <c r="CA51" s="179"/>
      <c r="CB51" s="179"/>
      <c r="CC51" s="179"/>
    </row>
    <row r="52" spans="1:81" x14ac:dyDescent="0.25">
      <c r="H52" s="177">
        <v>46</v>
      </c>
      <c r="I52" s="469">
        <f t="shared" si="24"/>
        <v>4.6000000000000006E-2</v>
      </c>
      <c r="J52" s="224"/>
      <c r="K52" s="224"/>
      <c r="L52" s="224"/>
      <c r="M52" s="224"/>
      <c r="N52" s="274"/>
      <c r="O52" s="179"/>
      <c r="P52" s="224"/>
      <c r="Q52" s="455"/>
      <c r="S52" s="275"/>
      <c r="T52" s="275"/>
      <c r="U52" s="275"/>
      <c r="AJ52" s="455"/>
      <c r="AZ52" s="276"/>
      <c r="BJ52" s="226"/>
      <c r="BK52" s="226"/>
      <c r="BL52" s="226"/>
      <c r="BO52" s="179"/>
      <c r="BP52" s="226"/>
      <c r="BQ52" s="277"/>
      <c r="BR52" s="278"/>
      <c r="BS52" s="226"/>
      <c r="BT52" s="279"/>
      <c r="BX52" s="226"/>
      <c r="BY52" s="226"/>
      <c r="BZ52" s="179"/>
      <c r="CA52" s="179"/>
      <c r="CB52" s="179"/>
      <c r="CC52" s="179"/>
    </row>
    <row r="53" spans="1:81" x14ac:dyDescent="0.25">
      <c r="A53" s="177">
        <f>Trise*1000000000</f>
        <v>20</v>
      </c>
      <c r="H53" s="177">
        <v>47</v>
      </c>
      <c r="I53" s="469">
        <f t="shared" si="24"/>
        <v>4.7E-2</v>
      </c>
      <c r="J53" s="224"/>
      <c r="K53" s="224"/>
      <c r="L53" s="224"/>
      <c r="M53" s="224"/>
      <c r="N53" s="274"/>
      <c r="O53" s="179"/>
      <c r="P53" s="224"/>
      <c r="Q53" s="455"/>
      <c r="S53" s="275"/>
      <c r="T53" s="275"/>
      <c r="U53" s="275"/>
      <c r="AJ53" s="455"/>
      <c r="AZ53" s="276"/>
      <c r="BJ53" s="226"/>
      <c r="BK53" s="226"/>
      <c r="BL53" s="226"/>
      <c r="BO53" s="179"/>
      <c r="BP53" s="226"/>
      <c r="BQ53" s="277"/>
      <c r="BR53" s="278"/>
      <c r="BS53" s="226"/>
      <c r="BT53" s="279"/>
      <c r="BX53" s="226"/>
      <c r="BY53" s="226"/>
      <c r="BZ53" s="179"/>
      <c r="CA53" s="179"/>
      <c r="CB53" s="179"/>
      <c r="CC53" s="179"/>
    </row>
    <row r="54" spans="1:81" x14ac:dyDescent="0.25">
      <c r="A54" s="327"/>
      <c r="H54" s="177">
        <v>48</v>
      </c>
      <c r="I54" s="469">
        <f t="shared" si="24"/>
        <v>4.8000000000000001E-2</v>
      </c>
      <c r="J54" s="224"/>
      <c r="K54" s="224"/>
      <c r="L54" s="224"/>
      <c r="M54" s="224"/>
      <c r="N54" s="274"/>
      <c r="O54" s="179"/>
      <c r="P54" s="224"/>
      <c r="Q54" s="455"/>
      <c r="S54" s="275"/>
      <c r="T54" s="275"/>
      <c r="U54" s="275"/>
      <c r="AJ54" s="455"/>
      <c r="AZ54" s="276"/>
      <c r="BJ54" s="226"/>
      <c r="BK54" s="226"/>
      <c r="BL54" s="226"/>
      <c r="BO54" s="179"/>
      <c r="BP54" s="226"/>
      <c r="BQ54" s="277"/>
      <c r="BR54" s="278"/>
      <c r="BS54" s="226"/>
      <c r="BT54" s="279"/>
      <c r="BX54" s="226"/>
      <c r="BY54" s="226"/>
      <c r="BZ54" s="179"/>
      <c r="CA54" s="179"/>
      <c r="CB54" s="179"/>
      <c r="CC54" s="179"/>
    </row>
    <row r="55" spans="1:81" x14ac:dyDescent="0.25">
      <c r="H55" s="177">
        <v>49</v>
      </c>
      <c r="I55" s="469">
        <f t="shared" si="24"/>
        <v>4.9000000000000002E-2</v>
      </c>
      <c r="J55" s="224"/>
      <c r="K55" s="224"/>
      <c r="L55" s="224"/>
      <c r="M55" s="224"/>
      <c r="N55" s="274"/>
      <c r="O55" s="179"/>
      <c r="P55" s="224"/>
      <c r="Q55" s="455"/>
      <c r="S55" s="275"/>
      <c r="T55" s="275"/>
      <c r="U55" s="275"/>
      <c r="AJ55" s="455"/>
      <c r="AZ55" s="276"/>
      <c r="BJ55" s="226"/>
      <c r="BK55" s="226"/>
      <c r="BL55" s="226"/>
      <c r="BO55" s="179"/>
      <c r="BP55" s="226"/>
      <c r="BQ55" s="277"/>
      <c r="BR55" s="278"/>
      <c r="BS55" s="226"/>
      <c r="BT55" s="279"/>
      <c r="BX55" s="226"/>
      <c r="BY55" s="226"/>
      <c r="BZ55" s="179"/>
      <c r="CA55" s="179"/>
      <c r="CB55" s="179"/>
      <c r="CC55" s="179"/>
    </row>
    <row r="56" spans="1:81" x14ac:dyDescent="0.25">
      <c r="H56" s="177">
        <v>50</v>
      </c>
      <c r="I56" s="469">
        <f t="shared" si="24"/>
        <v>0.05</v>
      </c>
      <c r="J56" s="224"/>
      <c r="K56" s="224"/>
      <c r="L56" s="224"/>
      <c r="M56" s="224"/>
      <c r="N56" s="274"/>
      <c r="O56" s="179"/>
      <c r="P56" s="224"/>
      <c r="Q56" s="455"/>
      <c r="S56" s="275"/>
      <c r="T56" s="275"/>
      <c r="U56" s="275"/>
      <c r="AJ56" s="455"/>
      <c r="AZ56" s="276"/>
      <c r="BJ56" s="226"/>
      <c r="BK56" s="226"/>
      <c r="BL56" s="226"/>
      <c r="BO56" s="179"/>
      <c r="BP56" s="226"/>
      <c r="BQ56" s="277"/>
      <c r="BR56" s="278"/>
      <c r="BS56" s="226"/>
      <c r="BT56" s="279"/>
      <c r="BX56" s="226"/>
      <c r="BY56" s="226"/>
      <c r="BZ56" s="179"/>
      <c r="CA56" s="179"/>
      <c r="CB56" s="179"/>
      <c r="CC56" s="179"/>
    </row>
    <row r="57" spans="1:81" x14ac:dyDescent="0.25">
      <c r="H57" s="177">
        <v>51</v>
      </c>
      <c r="I57" s="469">
        <f t="shared" si="24"/>
        <v>5.1000000000000004E-2</v>
      </c>
      <c r="J57" s="224"/>
      <c r="K57" s="224"/>
      <c r="L57" s="224"/>
      <c r="M57" s="224"/>
      <c r="N57" s="274"/>
      <c r="O57" s="179"/>
      <c r="P57" s="224"/>
      <c r="Q57" s="455"/>
      <c r="S57" s="275"/>
      <c r="T57" s="275"/>
      <c r="U57" s="275"/>
      <c r="AJ57" s="455"/>
      <c r="AZ57" s="276"/>
      <c r="BJ57" s="226"/>
      <c r="BK57" s="226"/>
      <c r="BL57" s="226"/>
      <c r="BO57" s="179"/>
      <c r="BP57" s="226"/>
      <c r="BQ57" s="277"/>
      <c r="BR57" s="278"/>
      <c r="BS57" s="226"/>
      <c r="BT57" s="279"/>
      <c r="BX57" s="226"/>
      <c r="BY57" s="226"/>
      <c r="BZ57" s="179"/>
      <c r="CA57" s="179"/>
      <c r="CB57" s="179"/>
      <c r="CC57" s="179"/>
    </row>
    <row r="58" spans="1:81" x14ac:dyDescent="0.25">
      <c r="H58" s="177">
        <v>52</v>
      </c>
      <c r="I58" s="469">
        <f t="shared" si="24"/>
        <v>5.2000000000000005E-2</v>
      </c>
      <c r="J58" s="224"/>
      <c r="K58" s="224"/>
      <c r="L58" s="224"/>
      <c r="M58" s="224"/>
      <c r="N58" s="274"/>
      <c r="O58" s="179"/>
      <c r="P58" s="224"/>
      <c r="Q58" s="455"/>
      <c r="S58" s="275"/>
      <c r="T58" s="275"/>
      <c r="U58" s="275"/>
      <c r="AJ58" s="455"/>
      <c r="AZ58" s="276"/>
      <c r="BJ58" s="226"/>
      <c r="BK58" s="226"/>
      <c r="BL58" s="226"/>
      <c r="BO58" s="179"/>
      <c r="BP58" s="226"/>
      <c r="BQ58" s="277"/>
      <c r="BR58" s="278"/>
      <c r="BS58" s="226"/>
      <c r="BT58" s="279"/>
      <c r="BX58" s="226"/>
      <c r="BY58" s="226"/>
      <c r="BZ58" s="179"/>
      <c r="CA58" s="179"/>
      <c r="CB58" s="179"/>
      <c r="CC58" s="179"/>
    </row>
    <row r="59" spans="1:81" x14ac:dyDescent="0.25">
      <c r="H59" s="177">
        <v>53</v>
      </c>
      <c r="I59" s="469">
        <f t="shared" si="24"/>
        <v>5.3000000000000005E-2</v>
      </c>
      <c r="J59" s="224"/>
      <c r="K59" s="224"/>
      <c r="L59" s="224"/>
      <c r="M59" s="224"/>
      <c r="N59" s="274"/>
      <c r="O59" s="179"/>
      <c r="P59" s="224"/>
      <c r="Q59" s="455"/>
      <c r="S59" s="275"/>
      <c r="T59" s="275"/>
      <c r="U59" s="275"/>
      <c r="AJ59" s="455"/>
      <c r="AZ59" s="276"/>
      <c r="BJ59" s="226"/>
      <c r="BK59" s="226"/>
      <c r="BL59" s="226"/>
      <c r="BO59" s="179"/>
      <c r="BP59" s="226"/>
      <c r="BQ59" s="277"/>
      <c r="BR59" s="278"/>
      <c r="BS59" s="226"/>
      <c r="BT59" s="279"/>
      <c r="BX59" s="226"/>
      <c r="BY59" s="226"/>
      <c r="BZ59" s="179"/>
      <c r="CA59" s="179"/>
      <c r="CB59" s="179"/>
      <c r="CC59" s="179"/>
    </row>
    <row r="60" spans="1:81" x14ac:dyDescent="0.25">
      <c r="H60" s="177">
        <v>54</v>
      </c>
      <c r="I60" s="469">
        <f t="shared" si="24"/>
        <v>5.4000000000000006E-2</v>
      </c>
      <c r="J60" s="224"/>
      <c r="K60" s="224"/>
      <c r="L60" s="224"/>
      <c r="M60" s="224"/>
      <c r="N60" s="274"/>
      <c r="O60" s="179"/>
      <c r="P60" s="224"/>
      <c r="Q60" s="455"/>
      <c r="S60" s="275"/>
      <c r="T60" s="275"/>
      <c r="U60" s="275"/>
      <c r="AJ60" s="455"/>
      <c r="AZ60" s="276"/>
      <c r="BJ60" s="226"/>
      <c r="BK60" s="226"/>
      <c r="BL60" s="226"/>
      <c r="BO60" s="179"/>
      <c r="BP60" s="226"/>
      <c r="BQ60" s="277"/>
      <c r="BR60" s="278"/>
      <c r="BS60" s="226"/>
      <c r="BT60" s="279"/>
      <c r="BX60" s="226"/>
      <c r="BY60" s="226"/>
      <c r="BZ60" s="179"/>
      <c r="CA60" s="179"/>
      <c r="CB60" s="179"/>
      <c r="CC60" s="179"/>
    </row>
    <row r="61" spans="1:81" x14ac:dyDescent="0.25">
      <c r="H61" s="177">
        <v>55</v>
      </c>
      <c r="I61" s="469">
        <f t="shared" si="24"/>
        <v>5.5000000000000007E-2</v>
      </c>
      <c r="J61" s="224"/>
      <c r="K61" s="224"/>
      <c r="L61" s="224"/>
      <c r="M61" s="224"/>
      <c r="N61" s="274"/>
      <c r="O61" s="179"/>
      <c r="P61" s="224"/>
      <c r="Q61" s="455"/>
      <c r="S61" s="275"/>
      <c r="T61" s="275"/>
      <c r="U61" s="275"/>
      <c r="AJ61" s="455"/>
      <c r="AZ61" s="276"/>
      <c r="BJ61" s="226"/>
      <c r="BK61" s="226"/>
      <c r="BL61" s="226"/>
      <c r="BO61" s="179"/>
      <c r="BP61" s="226"/>
      <c r="BQ61" s="277"/>
      <c r="BR61" s="278"/>
      <c r="BS61" s="226"/>
      <c r="BT61" s="279"/>
      <c r="BX61" s="226"/>
      <c r="BY61" s="226"/>
      <c r="BZ61" s="179"/>
      <c r="CA61" s="179"/>
      <c r="CB61" s="179"/>
      <c r="CC61" s="179"/>
    </row>
    <row r="62" spans="1:81" x14ac:dyDescent="0.25">
      <c r="H62" s="177">
        <v>56</v>
      </c>
      <c r="I62" s="469">
        <f t="shared" si="24"/>
        <v>5.6000000000000008E-2</v>
      </c>
      <c r="J62" s="224"/>
      <c r="K62" s="224"/>
      <c r="L62" s="224"/>
      <c r="M62" s="224"/>
      <c r="N62" s="274"/>
      <c r="O62" s="179"/>
      <c r="P62" s="224"/>
      <c r="Q62" s="455"/>
      <c r="S62" s="275"/>
      <c r="T62" s="275"/>
      <c r="U62" s="275"/>
      <c r="AJ62" s="455"/>
      <c r="AZ62" s="276"/>
      <c r="BJ62" s="226"/>
      <c r="BK62" s="226"/>
      <c r="BL62" s="226"/>
      <c r="BO62" s="179"/>
      <c r="BP62" s="226"/>
      <c r="BQ62" s="277"/>
      <c r="BR62" s="278"/>
      <c r="BS62" s="226"/>
      <c r="BT62" s="279"/>
      <c r="BX62" s="226"/>
      <c r="BY62" s="226"/>
      <c r="BZ62" s="179"/>
      <c r="CA62" s="179"/>
      <c r="CB62" s="179"/>
      <c r="CC62" s="179"/>
    </row>
    <row r="63" spans="1:81" x14ac:dyDescent="0.25">
      <c r="F63" s="332" t="s">
        <v>275</v>
      </c>
      <c r="G63" s="332" t="s">
        <v>276</v>
      </c>
      <c r="H63" s="177">
        <v>57</v>
      </c>
      <c r="I63" s="469">
        <f t="shared" si="24"/>
        <v>5.6999999999999995E-2</v>
      </c>
      <c r="J63" s="224"/>
      <c r="K63" s="224"/>
      <c r="L63" s="224"/>
      <c r="M63" s="224"/>
      <c r="N63" s="274"/>
      <c r="O63" s="179"/>
      <c r="P63" s="224"/>
      <c r="Q63" s="455"/>
      <c r="S63" s="275"/>
      <c r="T63" s="275"/>
      <c r="U63" s="275"/>
      <c r="AJ63" s="455"/>
      <c r="AZ63" s="276"/>
      <c r="BJ63" s="226"/>
      <c r="BK63" s="226"/>
      <c r="BL63" s="226"/>
      <c r="BO63" s="179"/>
      <c r="BP63" s="226"/>
      <c r="BQ63" s="277"/>
      <c r="BR63" s="278"/>
      <c r="BS63" s="226"/>
      <c r="BT63" s="279"/>
      <c r="BX63" s="226"/>
      <c r="BY63" s="226"/>
      <c r="BZ63" s="179"/>
      <c r="CA63" s="179"/>
      <c r="CB63" s="179"/>
      <c r="CC63" s="179"/>
    </row>
    <row r="64" spans="1:81" x14ac:dyDescent="0.25">
      <c r="F64" s="333">
        <f>BM56</f>
        <v>0</v>
      </c>
      <c r="G64" s="334">
        <f>I56*1000</f>
        <v>50</v>
      </c>
      <c r="H64" s="177">
        <v>58</v>
      </c>
      <c r="I64" s="469">
        <f t="shared" si="24"/>
        <v>5.7999999999999996E-2</v>
      </c>
      <c r="J64" s="224"/>
      <c r="K64" s="224"/>
      <c r="L64" s="224"/>
      <c r="M64" s="224"/>
      <c r="N64" s="274"/>
      <c r="O64" s="179"/>
      <c r="P64" s="224"/>
      <c r="Q64" s="455"/>
      <c r="S64" s="275"/>
      <c r="T64" s="275"/>
      <c r="U64" s="275"/>
      <c r="AJ64" s="455"/>
      <c r="AZ64" s="276"/>
      <c r="BJ64" s="226"/>
      <c r="BK64" s="226"/>
      <c r="BL64" s="226"/>
      <c r="BO64" s="179"/>
      <c r="BP64" s="226"/>
      <c r="BQ64" s="277"/>
      <c r="BR64" s="278"/>
      <c r="BS64" s="226"/>
      <c r="BT64" s="279"/>
      <c r="BX64" s="226"/>
      <c r="BY64" s="226"/>
      <c r="BZ64" s="179"/>
      <c r="CA64" s="179"/>
      <c r="CB64" s="179"/>
      <c r="CC64" s="179"/>
    </row>
    <row r="65" spans="6:81" x14ac:dyDescent="0.25">
      <c r="F65" s="333">
        <f>BM81</f>
        <v>0</v>
      </c>
      <c r="G65" s="334">
        <f>I81*1000</f>
        <v>75.000000000000014</v>
      </c>
      <c r="H65" s="177">
        <v>59</v>
      </c>
      <c r="I65" s="469">
        <f t="shared" si="24"/>
        <v>5.8999999999999997E-2</v>
      </c>
      <c r="J65" s="224"/>
      <c r="K65" s="224"/>
      <c r="L65" s="224"/>
      <c r="M65" s="224"/>
      <c r="N65" s="274"/>
      <c r="O65" s="179"/>
      <c r="P65" s="224"/>
      <c r="Q65" s="455"/>
      <c r="S65" s="275"/>
      <c r="T65" s="275"/>
      <c r="U65" s="275"/>
      <c r="AJ65" s="455"/>
      <c r="AZ65" s="276"/>
      <c r="BJ65" s="226"/>
      <c r="BK65" s="226"/>
      <c r="BL65" s="226"/>
      <c r="BO65" s="179"/>
      <c r="BP65" s="226"/>
      <c r="BQ65" s="277"/>
      <c r="BR65" s="278"/>
      <c r="BS65" s="226"/>
      <c r="BT65" s="279"/>
      <c r="BX65" s="226"/>
      <c r="BY65" s="226"/>
      <c r="BZ65" s="179"/>
      <c r="CA65" s="179"/>
      <c r="CB65" s="179"/>
      <c r="CC65" s="179"/>
    </row>
    <row r="66" spans="6:81" x14ac:dyDescent="0.25">
      <c r="F66" s="333">
        <f>BM106</f>
        <v>100</v>
      </c>
      <c r="G66" s="334">
        <f>I106*1000</f>
        <v>100</v>
      </c>
      <c r="H66" s="177">
        <v>60</v>
      </c>
      <c r="I66" s="469">
        <f t="shared" si="24"/>
        <v>0.06</v>
      </c>
      <c r="J66" s="224"/>
      <c r="K66" s="224"/>
      <c r="L66" s="224"/>
      <c r="M66" s="224"/>
      <c r="N66" s="274"/>
      <c r="O66" s="179"/>
      <c r="P66" s="224"/>
      <c r="Q66" s="455"/>
      <c r="S66" s="275"/>
      <c r="T66" s="275"/>
      <c r="U66" s="275"/>
      <c r="AJ66" s="455"/>
      <c r="AZ66" s="276"/>
      <c r="BJ66" s="226"/>
      <c r="BK66" s="226"/>
      <c r="BL66" s="226"/>
      <c r="BO66" s="179"/>
      <c r="BP66" s="226"/>
      <c r="BQ66" s="277"/>
      <c r="BR66" s="278"/>
      <c r="BS66" s="226"/>
      <c r="BT66" s="279"/>
      <c r="BX66" s="226"/>
      <c r="BY66" s="226"/>
      <c r="BZ66" s="179"/>
      <c r="CA66" s="179"/>
      <c r="CB66" s="179"/>
      <c r="CC66" s="179"/>
    </row>
    <row r="67" spans="6:81" x14ac:dyDescent="0.25">
      <c r="H67" s="177">
        <v>61</v>
      </c>
      <c r="I67" s="469">
        <f t="shared" si="24"/>
        <v>6.0999999999999999E-2</v>
      </c>
      <c r="J67" s="224"/>
      <c r="K67" s="224"/>
      <c r="L67" s="224"/>
      <c r="M67" s="224"/>
      <c r="N67" s="274"/>
      <c r="O67" s="179"/>
      <c r="P67" s="224"/>
      <c r="Q67" s="455"/>
      <c r="S67" s="275"/>
      <c r="T67" s="275"/>
      <c r="U67" s="275"/>
      <c r="AJ67" s="455"/>
      <c r="AZ67" s="276"/>
      <c r="BJ67" s="226"/>
      <c r="BK67" s="226"/>
      <c r="BL67" s="226"/>
      <c r="BO67" s="179"/>
      <c r="BP67" s="226"/>
      <c r="BQ67" s="277"/>
      <c r="BR67" s="278"/>
      <c r="BS67" s="226"/>
      <c r="BT67" s="279"/>
      <c r="BX67" s="226"/>
      <c r="BY67" s="226"/>
      <c r="BZ67" s="179"/>
      <c r="CA67" s="179"/>
      <c r="CB67" s="179"/>
      <c r="CC67" s="179"/>
    </row>
    <row r="68" spans="6:81" x14ac:dyDescent="0.25">
      <c r="H68" s="177">
        <v>62</v>
      </c>
      <c r="I68" s="469">
        <f t="shared" si="24"/>
        <v>6.2E-2</v>
      </c>
      <c r="J68" s="224"/>
      <c r="K68" s="224"/>
      <c r="L68" s="224"/>
      <c r="M68" s="224"/>
      <c r="N68" s="274"/>
      <c r="O68" s="179"/>
      <c r="P68" s="224"/>
      <c r="Q68" s="455"/>
      <c r="S68" s="275"/>
      <c r="T68" s="275"/>
      <c r="U68" s="275"/>
      <c r="AJ68" s="455"/>
      <c r="AZ68" s="276"/>
      <c r="BJ68" s="226"/>
      <c r="BK68" s="226"/>
      <c r="BL68" s="226"/>
      <c r="BO68" s="179"/>
      <c r="BP68" s="226"/>
      <c r="BQ68" s="277"/>
      <c r="BR68" s="278"/>
      <c r="BS68" s="226"/>
      <c r="BT68" s="279"/>
      <c r="BX68" s="226"/>
      <c r="BY68" s="226"/>
      <c r="BZ68" s="179"/>
      <c r="CA68" s="179"/>
      <c r="CB68" s="179"/>
      <c r="CC68" s="179"/>
    </row>
    <row r="69" spans="6:81" x14ac:dyDescent="0.25">
      <c r="H69" s="177">
        <v>63</v>
      </c>
      <c r="I69" s="469">
        <f t="shared" si="24"/>
        <v>6.3E-2</v>
      </c>
      <c r="J69" s="224"/>
      <c r="K69" s="224"/>
      <c r="L69" s="224"/>
      <c r="M69" s="224"/>
      <c r="N69" s="274"/>
      <c r="O69" s="179"/>
      <c r="P69" s="224"/>
      <c r="Q69" s="455"/>
      <c r="S69" s="275"/>
      <c r="T69" s="275"/>
      <c r="U69" s="275"/>
      <c r="AJ69" s="455"/>
      <c r="AZ69" s="276"/>
      <c r="BJ69" s="226"/>
      <c r="BK69" s="226"/>
      <c r="BL69" s="226"/>
      <c r="BO69" s="179"/>
      <c r="BP69" s="226"/>
      <c r="BQ69" s="277"/>
      <c r="BR69" s="278"/>
      <c r="BS69" s="226"/>
      <c r="BT69" s="279"/>
      <c r="BX69" s="226"/>
      <c r="BY69" s="226"/>
      <c r="BZ69" s="179"/>
      <c r="CA69" s="179"/>
      <c r="CB69" s="179"/>
      <c r="CC69" s="179"/>
    </row>
    <row r="70" spans="6:81" x14ac:dyDescent="0.25">
      <c r="H70" s="177">
        <v>64</v>
      </c>
      <c r="I70" s="469">
        <f t="shared" ref="I70:I101" si="25">IF(PLOT_TYPE=1, H70/100*Iout_max, min_I*EXP(H70*rr/100))</f>
        <v>6.4000000000000001E-2</v>
      </c>
      <c r="J70" s="224"/>
      <c r="K70" s="224"/>
      <c r="L70" s="224"/>
      <c r="M70" s="224"/>
      <c r="N70" s="274"/>
      <c r="O70" s="179"/>
      <c r="P70" s="224"/>
      <c r="Q70" s="455"/>
      <c r="S70" s="275"/>
      <c r="T70" s="275"/>
      <c r="U70" s="275"/>
      <c r="AJ70" s="455"/>
      <c r="AZ70" s="276"/>
      <c r="BJ70" s="226"/>
      <c r="BK70" s="226"/>
      <c r="BL70" s="226"/>
      <c r="BO70" s="179"/>
      <c r="BP70" s="226"/>
      <c r="BQ70" s="277"/>
      <c r="BR70" s="278"/>
      <c r="BS70" s="226"/>
      <c r="BT70" s="279"/>
      <c r="BX70" s="226"/>
      <c r="BY70" s="226"/>
      <c r="BZ70" s="179"/>
      <c r="CA70" s="179"/>
      <c r="CB70" s="179"/>
      <c r="CC70" s="179"/>
    </row>
    <row r="71" spans="6:81" x14ac:dyDescent="0.25">
      <c r="H71" s="177">
        <v>65</v>
      </c>
      <c r="I71" s="469">
        <f t="shared" si="25"/>
        <v>6.5000000000000002E-2</v>
      </c>
      <c r="J71" s="224"/>
      <c r="K71" s="224"/>
      <c r="L71" s="224"/>
      <c r="M71" s="224"/>
      <c r="N71" s="274"/>
      <c r="O71" s="179"/>
      <c r="P71" s="224"/>
      <c r="Q71" s="455"/>
      <c r="S71" s="275"/>
      <c r="T71" s="275"/>
      <c r="U71" s="275"/>
      <c r="AJ71" s="455"/>
      <c r="AZ71" s="276"/>
      <c r="BJ71" s="226"/>
      <c r="BK71" s="226"/>
      <c r="BL71" s="226"/>
      <c r="BO71" s="179"/>
      <c r="BP71" s="226"/>
      <c r="BQ71" s="277"/>
      <c r="BR71" s="278"/>
      <c r="BS71" s="226"/>
      <c r="BT71" s="279"/>
      <c r="BX71" s="226"/>
      <c r="BY71" s="226"/>
      <c r="BZ71" s="179"/>
      <c r="CA71" s="179"/>
      <c r="CB71" s="179"/>
      <c r="CC71" s="179"/>
    </row>
    <row r="72" spans="6:81" x14ac:dyDescent="0.25">
      <c r="H72" s="177">
        <v>66</v>
      </c>
      <c r="I72" s="469">
        <f t="shared" si="25"/>
        <v>6.6000000000000003E-2</v>
      </c>
      <c r="J72" s="224"/>
      <c r="K72" s="224"/>
      <c r="L72" s="224"/>
      <c r="M72" s="224"/>
      <c r="N72" s="274"/>
      <c r="O72" s="179"/>
      <c r="P72" s="224"/>
      <c r="Q72" s="455"/>
      <c r="S72" s="275"/>
      <c r="T72" s="275"/>
      <c r="U72" s="275"/>
      <c r="AJ72" s="455"/>
      <c r="AZ72" s="276"/>
      <c r="BJ72" s="226"/>
      <c r="BK72" s="226"/>
      <c r="BL72" s="226"/>
      <c r="BO72" s="179"/>
      <c r="BP72" s="226"/>
      <c r="BQ72" s="277"/>
      <c r="BR72" s="278"/>
      <c r="BS72" s="226"/>
      <c r="BT72" s="279"/>
      <c r="BX72" s="226"/>
      <c r="BY72" s="226"/>
      <c r="BZ72" s="179"/>
      <c r="CA72" s="179"/>
      <c r="CB72" s="179"/>
      <c r="CC72" s="179"/>
    </row>
    <row r="73" spans="6:81" x14ac:dyDescent="0.25">
      <c r="H73" s="177">
        <v>67</v>
      </c>
      <c r="I73" s="469">
        <f t="shared" si="25"/>
        <v>6.7000000000000004E-2</v>
      </c>
      <c r="J73" s="224"/>
      <c r="K73" s="224"/>
      <c r="L73" s="224"/>
      <c r="M73" s="224"/>
      <c r="N73" s="274"/>
      <c r="O73" s="179"/>
      <c r="P73" s="224"/>
      <c r="Q73" s="455"/>
      <c r="S73" s="275"/>
      <c r="T73" s="275"/>
      <c r="U73" s="275"/>
      <c r="AJ73" s="455"/>
      <c r="AZ73" s="276"/>
      <c r="BJ73" s="226"/>
      <c r="BK73" s="226"/>
      <c r="BL73" s="226"/>
      <c r="BO73" s="179"/>
      <c r="BP73" s="226"/>
      <c r="BQ73" s="277"/>
      <c r="BR73" s="278"/>
      <c r="BS73" s="226"/>
      <c r="BT73" s="279"/>
      <c r="BX73" s="226"/>
      <c r="BY73" s="226"/>
      <c r="BZ73" s="179"/>
      <c r="CA73" s="179"/>
      <c r="CB73" s="179"/>
      <c r="CC73" s="179"/>
    </row>
    <row r="74" spans="6:81" x14ac:dyDescent="0.25">
      <c r="H74" s="177">
        <v>68</v>
      </c>
      <c r="I74" s="469">
        <f t="shared" si="25"/>
        <v>6.8000000000000005E-2</v>
      </c>
      <c r="J74" s="224"/>
      <c r="K74" s="224"/>
      <c r="L74" s="224"/>
      <c r="M74" s="224"/>
      <c r="N74" s="274"/>
      <c r="O74" s="179"/>
      <c r="P74" s="224"/>
      <c r="Q74" s="455"/>
      <c r="S74" s="275"/>
      <c r="T74" s="275"/>
      <c r="U74" s="275"/>
      <c r="AJ74" s="455"/>
      <c r="AZ74" s="276"/>
      <c r="BJ74" s="226"/>
      <c r="BK74" s="226"/>
      <c r="BL74" s="226"/>
      <c r="BO74" s="179"/>
      <c r="BP74" s="226"/>
      <c r="BQ74" s="277"/>
      <c r="BR74" s="278"/>
      <c r="BS74" s="226"/>
      <c r="BT74" s="279"/>
      <c r="BX74" s="226"/>
      <c r="BY74" s="226"/>
      <c r="BZ74" s="179"/>
      <c r="CA74" s="179"/>
      <c r="CB74" s="179"/>
      <c r="CC74" s="179"/>
    </row>
    <row r="75" spans="6:81" x14ac:dyDescent="0.25">
      <c r="H75" s="177">
        <v>69</v>
      </c>
      <c r="I75" s="469">
        <f t="shared" si="25"/>
        <v>6.8999999999999992E-2</v>
      </c>
      <c r="J75" s="224"/>
      <c r="K75" s="224"/>
      <c r="L75" s="224"/>
      <c r="M75" s="224"/>
      <c r="N75" s="274"/>
      <c r="O75" s="179"/>
      <c r="P75" s="224"/>
      <c r="Q75" s="455"/>
      <c r="S75" s="275"/>
      <c r="T75" s="275"/>
      <c r="U75" s="275"/>
      <c r="AJ75" s="455"/>
      <c r="AZ75" s="276"/>
      <c r="BJ75" s="226"/>
      <c r="BK75" s="226"/>
      <c r="BL75" s="226"/>
      <c r="BO75" s="179"/>
      <c r="BP75" s="226"/>
      <c r="BQ75" s="277"/>
      <c r="BR75" s="278"/>
      <c r="BS75" s="226"/>
      <c r="BT75" s="279"/>
      <c r="BX75" s="226"/>
      <c r="BY75" s="226"/>
      <c r="BZ75" s="179"/>
      <c r="CA75" s="179"/>
      <c r="CB75" s="179"/>
      <c r="CC75" s="179"/>
    </row>
    <row r="76" spans="6:81" x14ac:dyDescent="0.25">
      <c r="H76" s="177">
        <v>70</v>
      </c>
      <c r="I76" s="469">
        <f t="shared" si="25"/>
        <v>6.9999999999999993E-2</v>
      </c>
      <c r="J76" s="224"/>
      <c r="K76" s="224"/>
      <c r="L76" s="224"/>
      <c r="M76" s="224"/>
      <c r="N76" s="274"/>
      <c r="O76" s="179"/>
      <c r="P76" s="224"/>
      <c r="Q76" s="455"/>
      <c r="S76" s="275"/>
      <c r="T76" s="275"/>
      <c r="U76" s="275"/>
      <c r="AJ76" s="455"/>
      <c r="AZ76" s="276"/>
      <c r="BJ76" s="226"/>
      <c r="BK76" s="226"/>
      <c r="BL76" s="226"/>
      <c r="BO76" s="179"/>
      <c r="BP76" s="226"/>
      <c r="BQ76" s="277"/>
      <c r="BR76" s="278"/>
      <c r="BS76" s="226"/>
      <c r="BT76" s="279"/>
      <c r="BX76" s="226"/>
      <c r="BY76" s="226"/>
      <c r="BZ76" s="179"/>
      <c r="CA76" s="179"/>
      <c r="CB76" s="179"/>
      <c r="CC76" s="179"/>
    </row>
    <row r="77" spans="6:81" x14ac:dyDescent="0.25">
      <c r="H77" s="177">
        <v>71</v>
      </c>
      <c r="I77" s="469">
        <f t="shared" si="25"/>
        <v>7.0999999999999994E-2</v>
      </c>
      <c r="J77" s="224"/>
      <c r="K77" s="224"/>
      <c r="L77" s="224"/>
      <c r="M77" s="224"/>
      <c r="N77" s="274"/>
      <c r="O77" s="179"/>
      <c r="P77" s="224"/>
      <c r="Q77" s="455"/>
      <c r="S77" s="275"/>
      <c r="T77" s="275"/>
      <c r="U77" s="275"/>
      <c r="AJ77" s="455"/>
      <c r="AZ77" s="276"/>
      <c r="BJ77" s="226"/>
      <c r="BK77" s="226"/>
      <c r="BL77" s="226"/>
      <c r="BO77" s="179"/>
      <c r="BP77" s="226"/>
      <c r="BQ77" s="277"/>
      <c r="BR77" s="278"/>
      <c r="BS77" s="226"/>
      <c r="BT77" s="279"/>
      <c r="BX77" s="226"/>
      <c r="BY77" s="226"/>
      <c r="BZ77" s="179"/>
      <c r="CA77" s="179"/>
      <c r="CB77" s="179"/>
      <c r="CC77" s="179"/>
    </row>
    <row r="78" spans="6:81" x14ac:dyDescent="0.25">
      <c r="H78" s="177">
        <v>72</v>
      </c>
      <c r="I78" s="469">
        <f t="shared" si="25"/>
        <v>7.1999999999999995E-2</v>
      </c>
      <c r="J78" s="224"/>
      <c r="K78" s="224"/>
      <c r="L78" s="224"/>
      <c r="M78" s="224"/>
      <c r="N78" s="274"/>
      <c r="O78" s="179"/>
      <c r="P78" s="224"/>
      <c r="Q78" s="455"/>
      <c r="S78" s="275"/>
      <c r="T78" s="275"/>
      <c r="U78" s="275"/>
      <c r="AJ78" s="455"/>
      <c r="AZ78" s="276"/>
      <c r="BJ78" s="226"/>
      <c r="BK78" s="226"/>
      <c r="BL78" s="226"/>
      <c r="BO78" s="179"/>
      <c r="BP78" s="226"/>
      <c r="BQ78" s="277"/>
      <c r="BR78" s="278"/>
      <c r="BS78" s="226"/>
      <c r="BT78" s="279"/>
      <c r="BX78" s="226"/>
      <c r="BY78" s="226"/>
      <c r="BZ78" s="179"/>
      <c r="CA78" s="179"/>
      <c r="CB78" s="179"/>
      <c r="CC78" s="179"/>
    </row>
    <row r="79" spans="6:81" x14ac:dyDescent="0.25">
      <c r="H79" s="177">
        <v>73</v>
      </c>
      <c r="I79" s="469">
        <f t="shared" si="25"/>
        <v>7.2999999999999995E-2</v>
      </c>
      <c r="J79" s="224"/>
      <c r="K79" s="224"/>
      <c r="L79" s="224"/>
      <c r="M79" s="224"/>
      <c r="N79" s="274"/>
      <c r="O79" s="179"/>
      <c r="P79" s="224"/>
      <c r="Q79" s="455"/>
      <c r="S79" s="275"/>
      <c r="T79" s="275"/>
      <c r="U79" s="275"/>
      <c r="AJ79" s="455"/>
      <c r="AZ79" s="276"/>
      <c r="BJ79" s="226"/>
      <c r="BK79" s="226"/>
      <c r="BL79" s="226"/>
      <c r="BO79" s="179"/>
      <c r="BP79" s="226"/>
      <c r="BQ79" s="277"/>
      <c r="BR79" s="278"/>
      <c r="BS79" s="226"/>
      <c r="BT79" s="279"/>
      <c r="BX79" s="226"/>
      <c r="BY79" s="226"/>
      <c r="BZ79" s="179"/>
      <c r="CA79" s="179"/>
      <c r="CB79" s="179"/>
      <c r="CC79" s="179"/>
    </row>
    <row r="80" spans="6:81" x14ac:dyDescent="0.25">
      <c r="H80" s="177">
        <v>74</v>
      </c>
      <c r="I80" s="469">
        <f t="shared" si="25"/>
        <v>7.3999999999999996E-2</v>
      </c>
      <c r="J80" s="224"/>
      <c r="K80" s="224"/>
      <c r="L80" s="224"/>
      <c r="M80" s="224"/>
      <c r="N80" s="274"/>
      <c r="O80" s="179"/>
      <c r="P80" s="224"/>
      <c r="Q80" s="455"/>
      <c r="S80" s="275"/>
      <c r="T80" s="275"/>
      <c r="U80" s="275"/>
      <c r="AJ80" s="455"/>
      <c r="AZ80" s="276"/>
      <c r="BJ80" s="226"/>
      <c r="BK80" s="226"/>
      <c r="BL80" s="226"/>
      <c r="BO80" s="179"/>
      <c r="BP80" s="226"/>
      <c r="BQ80" s="277"/>
      <c r="BR80" s="278"/>
      <c r="BS80" s="226"/>
      <c r="BT80" s="279"/>
      <c r="BX80" s="226"/>
      <c r="BY80" s="226"/>
      <c r="BZ80" s="179"/>
      <c r="CA80" s="179"/>
      <c r="CB80" s="179"/>
      <c r="CC80" s="179"/>
    </row>
    <row r="81" spans="6:81" x14ac:dyDescent="0.25">
      <c r="H81" s="177">
        <v>75</v>
      </c>
      <c r="I81" s="469">
        <f t="shared" si="25"/>
        <v>7.5000000000000011E-2</v>
      </c>
      <c r="J81" s="224"/>
      <c r="K81" s="224"/>
      <c r="L81" s="224"/>
      <c r="M81" s="224"/>
      <c r="N81" s="274"/>
      <c r="O81" s="179"/>
      <c r="P81" s="224"/>
      <c r="Q81" s="455"/>
      <c r="S81" s="275"/>
      <c r="T81" s="275"/>
      <c r="U81" s="275"/>
      <c r="AJ81" s="455"/>
      <c r="AZ81" s="276"/>
      <c r="BJ81" s="226"/>
      <c r="BK81" s="226"/>
      <c r="BL81" s="226"/>
      <c r="BO81" s="179"/>
      <c r="BP81" s="226"/>
      <c r="BQ81" s="277"/>
      <c r="BR81" s="278"/>
      <c r="BS81" s="226"/>
      <c r="BT81" s="279"/>
      <c r="BX81" s="226"/>
      <c r="BY81" s="226"/>
      <c r="BZ81" s="179"/>
      <c r="CA81" s="179"/>
      <c r="CB81" s="179"/>
      <c r="CC81" s="179"/>
    </row>
    <row r="82" spans="6:81" x14ac:dyDescent="0.25">
      <c r="H82" s="177">
        <v>76</v>
      </c>
      <c r="I82" s="469">
        <f t="shared" si="25"/>
        <v>7.6000000000000012E-2</v>
      </c>
      <c r="J82" s="224"/>
      <c r="K82" s="224"/>
      <c r="L82" s="224"/>
      <c r="M82" s="224"/>
      <c r="N82" s="274"/>
      <c r="O82" s="179"/>
      <c r="P82" s="224"/>
      <c r="Q82" s="455"/>
      <c r="S82" s="275"/>
      <c r="T82" s="275"/>
      <c r="U82" s="275"/>
      <c r="AJ82" s="455"/>
      <c r="AZ82" s="276"/>
      <c r="BJ82" s="226"/>
      <c r="BK82" s="226"/>
      <c r="BL82" s="226"/>
      <c r="BO82" s="179"/>
      <c r="BP82" s="226"/>
      <c r="BQ82" s="277"/>
      <c r="BR82" s="278"/>
      <c r="BS82" s="226"/>
      <c r="BT82" s="279"/>
      <c r="BX82" s="226"/>
      <c r="BY82" s="226"/>
      <c r="BZ82" s="179"/>
      <c r="CA82" s="179"/>
      <c r="CB82" s="179"/>
      <c r="CC82" s="179"/>
    </row>
    <row r="83" spans="6:81" x14ac:dyDescent="0.25">
      <c r="H83" s="177">
        <v>77</v>
      </c>
      <c r="I83" s="469">
        <f t="shared" si="25"/>
        <v>7.7000000000000013E-2</v>
      </c>
      <c r="J83" s="224"/>
      <c r="K83" s="224"/>
      <c r="L83" s="224"/>
      <c r="M83" s="224"/>
      <c r="N83" s="274"/>
      <c r="O83" s="179"/>
      <c r="P83" s="224"/>
      <c r="Q83" s="455"/>
      <c r="S83" s="275"/>
      <c r="T83" s="275"/>
      <c r="U83" s="275"/>
      <c r="AJ83" s="455"/>
      <c r="AZ83" s="276"/>
      <c r="BJ83" s="226"/>
      <c r="BK83" s="226"/>
      <c r="BL83" s="226"/>
      <c r="BO83" s="179"/>
      <c r="BP83" s="226"/>
      <c r="BQ83" s="277"/>
      <c r="BR83" s="278"/>
      <c r="BS83" s="226"/>
      <c r="BT83" s="279"/>
      <c r="BX83" s="226"/>
      <c r="BY83" s="226"/>
      <c r="BZ83" s="179"/>
      <c r="CA83" s="179"/>
      <c r="CB83" s="179"/>
      <c r="CC83" s="179"/>
    </row>
    <row r="84" spans="6:81" x14ac:dyDescent="0.25">
      <c r="H84" s="177">
        <v>78</v>
      </c>
      <c r="I84" s="469">
        <f t="shared" si="25"/>
        <v>7.8000000000000014E-2</v>
      </c>
      <c r="J84" s="224"/>
      <c r="K84" s="224"/>
      <c r="L84" s="224"/>
      <c r="M84" s="224"/>
      <c r="N84" s="274"/>
      <c r="O84" s="179"/>
      <c r="P84" s="224"/>
      <c r="Q84" s="455"/>
      <c r="S84" s="275"/>
      <c r="T84" s="275"/>
      <c r="U84" s="275"/>
      <c r="AJ84" s="455"/>
      <c r="AZ84" s="276"/>
      <c r="BJ84" s="226"/>
      <c r="BK84" s="226"/>
      <c r="BL84" s="226"/>
      <c r="BO84" s="179"/>
      <c r="BP84" s="226"/>
      <c r="BQ84" s="277"/>
      <c r="BR84" s="278"/>
      <c r="BS84" s="226"/>
      <c r="BT84" s="279"/>
      <c r="BX84" s="226"/>
      <c r="BY84" s="226"/>
      <c r="BZ84" s="179"/>
      <c r="CA84" s="179"/>
      <c r="CB84" s="179"/>
      <c r="CC84" s="179"/>
    </row>
    <row r="85" spans="6:81" x14ac:dyDescent="0.25">
      <c r="H85" s="177">
        <v>79</v>
      </c>
      <c r="I85" s="469">
        <f t="shared" si="25"/>
        <v>7.9000000000000015E-2</v>
      </c>
      <c r="J85" s="224"/>
      <c r="K85" s="224"/>
      <c r="L85" s="224"/>
      <c r="M85" s="224"/>
      <c r="N85" s="274"/>
      <c r="O85" s="179"/>
      <c r="P85" s="224"/>
      <c r="Q85" s="455"/>
      <c r="S85" s="275"/>
      <c r="T85" s="275"/>
      <c r="U85" s="275"/>
      <c r="AJ85" s="455"/>
      <c r="AZ85" s="276"/>
      <c r="BJ85" s="226"/>
      <c r="BK85" s="226"/>
      <c r="BL85" s="226"/>
      <c r="BO85" s="179"/>
      <c r="BP85" s="226"/>
      <c r="BQ85" s="277"/>
      <c r="BR85" s="278"/>
      <c r="BS85" s="226"/>
      <c r="BT85" s="279"/>
      <c r="BX85" s="226"/>
      <c r="BY85" s="226"/>
      <c r="BZ85" s="179"/>
      <c r="CA85" s="179"/>
      <c r="CB85" s="179"/>
      <c r="CC85" s="179"/>
    </row>
    <row r="86" spans="6:81" x14ac:dyDescent="0.25">
      <c r="H86" s="177">
        <v>80</v>
      </c>
      <c r="I86" s="469">
        <f t="shared" si="25"/>
        <v>8.0000000000000016E-2</v>
      </c>
      <c r="J86" s="224"/>
      <c r="K86" s="224"/>
      <c r="L86" s="224"/>
      <c r="M86" s="224"/>
      <c r="N86" s="274"/>
      <c r="O86" s="179"/>
      <c r="P86" s="224"/>
      <c r="Q86" s="455"/>
      <c r="S86" s="275"/>
      <c r="T86" s="275"/>
      <c r="U86" s="275"/>
      <c r="AJ86" s="455"/>
      <c r="AZ86" s="276"/>
      <c r="BJ86" s="226"/>
      <c r="BK86" s="226"/>
      <c r="BL86" s="226"/>
      <c r="BO86" s="179"/>
      <c r="BP86" s="226"/>
      <c r="BQ86" s="277"/>
      <c r="BR86" s="278"/>
      <c r="BS86" s="226"/>
      <c r="BT86" s="279"/>
      <c r="BX86" s="226"/>
      <c r="BY86" s="226"/>
      <c r="BZ86" s="179"/>
      <c r="CA86" s="179"/>
      <c r="CB86" s="179"/>
      <c r="CC86" s="179"/>
    </row>
    <row r="87" spans="6:81" x14ac:dyDescent="0.25">
      <c r="H87" s="177">
        <v>81</v>
      </c>
      <c r="I87" s="469">
        <f t="shared" si="25"/>
        <v>8.1000000000000016E-2</v>
      </c>
      <c r="J87" s="224"/>
      <c r="K87" s="224"/>
      <c r="L87" s="224"/>
      <c r="M87" s="224"/>
      <c r="N87" s="274"/>
      <c r="O87" s="179"/>
      <c r="P87" s="224"/>
      <c r="Q87" s="455"/>
      <c r="S87" s="275"/>
      <c r="T87" s="275"/>
      <c r="U87" s="275"/>
      <c r="AJ87" s="455"/>
      <c r="AZ87" s="276"/>
      <c r="BJ87" s="226"/>
      <c r="BK87" s="226"/>
      <c r="BL87" s="226"/>
      <c r="BO87" s="179"/>
      <c r="BP87" s="226"/>
      <c r="BQ87" s="277"/>
      <c r="BR87" s="278"/>
      <c r="BS87" s="226"/>
      <c r="BT87" s="279"/>
      <c r="BX87" s="226"/>
      <c r="BY87" s="226"/>
      <c r="BZ87" s="179"/>
      <c r="CA87" s="179"/>
      <c r="CB87" s="179"/>
      <c r="CC87" s="179"/>
    </row>
    <row r="88" spans="6:81" x14ac:dyDescent="0.25">
      <c r="F88" s="332" t="s">
        <v>275</v>
      </c>
      <c r="G88" s="332" t="s">
        <v>276</v>
      </c>
      <c r="H88" s="177">
        <v>82</v>
      </c>
      <c r="I88" s="469">
        <f t="shared" si="25"/>
        <v>8.2000000000000003E-2</v>
      </c>
      <c r="J88" s="224"/>
      <c r="K88" s="224"/>
      <c r="L88" s="224"/>
      <c r="M88" s="224"/>
      <c r="N88" s="274"/>
      <c r="O88" s="179"/>
      <c r="P88" s="224"/>
      <c r="Q88" s="455"/>
      <c r="S88" s="275"/>
      <c r="T88" s="275"/>
      <c r="U88" s="275"/>
      <c r="AJ88" s="455"/>
      <c r="AZ88" s="276"/>
      <c r="BJ88" s="226"/>
      <c r="BK88" s="226"/>
      <c r="BL88" s="226"/>
      <c r="BO88" s="179"/>
      <c r="BP88" s="226"/>
      <c r="BQ88" s="277"/>
      <c r="BR88" s="278"/>
      <c r="BS88" s="226"/>
      <c r="BT88" s="279"/>
      <c r="BX88" s="226"/>
      <c r="BY88" s="226"/>
      <c r="BZ88" s="179"/>
      <c r="CA88" s="179"/>
      <c r="CB88" s="179"/>
      <c r="CC88" s="179"/>
    </row>
    <row r="89" spans="6:81" x14ac:dyDescent="0.25">
      <c r="F89" s="333">
        <f>BO51</f>
        <v>0</v>
      </c>
      <c r="G89" s="334">
        <f>I56*1000</f>
        <v>50</v>
      </c>
      <c r="H89" s="177">
        <v>83</v>
      </c>
      <c r="I89" s="469">
        <f t="shared" si="25"/>
        <v>8.3000000000000004E-2</v>
      </c>
      <c r="J89" s="224"/>
      <c r="K89" s="224"/>
      <c r="L89" s="224"/>
      <c r="M89" s="224"/>
      <c r="N89" s="274"/>
      <c r="O89" s="179"/>
      <c r="P89" s="224"/>
      <c r="Q89" s="455"/>
      <c r="S89" s="275"/>
      <c r="T89" s="275"/>
      <c r="U89" s="275"/>
      <c r="AJ89" s="455"/>
      <c r="AZ89" s="276"/>
      <c r="BJ89" s="226"/>
      <c r="BK89" s="226"/>
      <c r="BL89" s="226"/>
      <c r="BO89" s="179"/>
      <c r="BP89" s="226"/>
      <c r="BQ89" s="277"/>
      <c r="BR89" s="278"/>
      <c r="BS89" s="226"/>
      <c r="BT89" s="279"/>
      <c r="BX89" s="226"/>
      <c r="BY89" s="226"/>
      <c r="BZ89" s="179"/>
      <c r="CA89" s="179"/>
      <c r="CB89" s="179"/>
      <c r="CC89" s="179"/>
    </row>
    <row r="90" spans="6:81" x14ac:dyDescent="0.25">
      <c r="F90" s="333">
        <f>BO81</f>
        <v>0</v>
      </c>
      <c r="G90" s="334">
        <f>I81*1000</f>
        <v>75.000000000000014</v>
      </c>
      <c r="H90" s="177">
        <v>84</v>
      </c>
      <c r="I90" s="469">
        <f t="shared" si="25"/>
        <v>8.4000000000000005E-2</v>
      </c>
      <c r="J90" s="224"/>
      <c r="K90" s="224"/>
      <c r="L90" s="224"/>
      <c r="M90" s="224"/>
      <c r="N90" s="274"/>
      <c r="O90" s="179"/>
      <c r="P90" s="224"/>
      <c r="Q90" s="455"/>
      <c r="S90" s="275"/>
      <c r="T90" s="275"/>
      <c r="U90" s="275"/>
      <c r="AJ90" s="455"/>
      <c r="AZ90" s="276"/>
      <c r="BJ90" s="226"/>
      <c r="BK90" s="226"/>
      <c r="BL90" s="226"/>
      <c r="BO90" s="179"/>
      <c r="BP90" s="226"/>
      <c r="BQ90" s="277"/>
      <c r="BR90" s="278"/>
      <c r="BS90" s="226"/>
      <c r="BT90" s="279"/>
      <c r="BX90" s="226"/>
      <c r="BY90" s="226"/>
      <c r="BZ90" s="179"/>
      <c r="CA90" s="179"/>
      <c r="CB90" s="179"/>
      <c r="CC90" s="179"/>
    </row>
    <row r="91" spans="6:81" x14ac:dyDescent="0.25">
      <c r="F91" s="333">
        <f>BO106</f>
        <v>88.698181382326453</v>
      </c>
      <c r="G91" s="334">
        <f>I106*1000</f>
        <v>100</v>
      </c>
      <c r="H91" s="177">
        <v>85</v>
      </c>
      <c r="I91" s="469">
        <f t="shared" si="25"/>
        <v>8.5000000000000006E-2</v>
      </c>
      <c r="J91" s="224"/>
      <c r="K91" s="224"/>
      <c r="L91" s="224"/>
      <c r="M91" s="224"/>
      <c r="N91" s="274"/>
      <c r="O91" s="179"/>
      <c r="P91" s="224"/>
      <c r="Q91" s="455"/>
      <c r="S91" s="275"/>
      <c r="T91" s="275"/>
      <c r="U91" s="275"/>
      <c r="AJ91" s="455"/>
      <c r="AZ91" s="276"/>
      <c r="BJ91" s="226"/>
      <c r="BK91" s="226"/>
      <c r="BL91" s="226"/>
      <c r="BO91" s="179"/>
      <c r="BP91" s="226"/>
      <c r="BQ91" s="277"/>
      <c r="BR91" s="278"/>
      <c r="BS91" s="226"/>
      <c r="BT91" s="279"/>
      <c r="BX91" s="226"/>
      <c r="BY91" s="226"/>
      <c r="BZ91" s="179"/>
      <c r="CA91" s="179"/>
      <c r="CB91" s="179"/>
      <c r="CC91" s="179"/>
    </row>
    <row r="92" spans="6:81" x14ac:dyDescent="0.25">
      <c r="H92" s="177">
        <v>86</v>
      </c>
      <c r="I92" s="469">
        <f t="shared" si="25"/>
        <v>8.6000000000000007E-2</v>
      </c>
      <c r="J92" s="224"/>
      <c r="K92" s="224"/>
      <c r="L92" s="224"/>
      <c r="M92" s="224"/>
      <c r="N92" s="274"/>
      <c r="O92" s="179"/>
      <c r="P92" s="224"/>
      <c r="Q92" s="455"/>
      <c r="S92" s="275"/>
      <c r="T92" s="275"/>
      <c r="U92" s="275"/>
      <c r="AJ92" s="455"/>
      <c r="AZ92" s="276"/>
      <c r="BJ92" s="226"/>
      <c r="BK92" s="226"/>
      <c r="BL92" s="226"/>
      <c r="BO92" s="179"/>
      <c r="BP92" s="226"/>
      <c r="BQ92" s="277"/>
      <c r="BR92" s="278"/>
      <c r="BS92" s="226"/>
      <c r="BT92" s="279"/>
      <c r="BX92" s="226"/>
      <c r="BY92" s="226"/>
      <c r="BZ92" s="179"/>
      <c r="CA92" s="179"/>
      <c r="CB92" s="179"/>
      <c r="CC92" s="179"/>
    </row>
    <row r="93" spans="6:81" x14ac:dyDescent="0.25">
      <c r="H93" s="177">
        <v>87</v>
      </c>
      <c r="I93" s="469">
        <f t="shared" si="25"/>
        <v>8.7000000000000008E-2</v>
      </c>
      <c r="J93" s="224"/>
      <c r="K93" s="224"/>
      <c r="L93" s="224"/>
      <c r="M93" s="224"/>
      <c r="N93" s="274"/>
      <c r="O93" s="179"/>
      <c r="P93" s="224"/>
      <c r="Q93" s="455"/>
      <c r="S93" s="275"/>
      <c r="T93" s="275"/>
      <c r="U93" s="275"/>
      <c r="AJ93" s="455"/>
      <c r="AZ93" s="276"/>
      <c r="BJ93" s="226"/>
      <c r="BK93" s="226"/>
      <c r="BL93" s="226"/>
      <c r="BO93" s="179"/>
      <c r="BP93" s="226"/>
      <c r="BQ93" s="277"/>
      <c r="BR93" s="278"/>
      <c r="BS93" s="226"/>
      <c r="BT93" s="279"/>
      <c r="BX93" s="226"/>
      <c r="BY93" s="226"/>
      <c r="BZ93" s="179"/>
      <c r="CA93" s="179"/>
      <c r="CB93" s="179"/>
      <c r="CC93" s="179"/>
    </row>
    <row r="94" spans="6:81" x14ac:dyDescent="0.25">
      <c r="H94" s="177">
        <v>88</v>
      </c>
      <c r="I94" s="469">
        <f t="shared" si="25"/>
        <v>8.8000000000000009E-2</v>
      </c>
      <c r="J94" s="224"/>
      <c r="K94" s="224"/>
      <c r="L94" s="224"/>
      <c r="M94" s="224"/>
      <c r="N94" s="274"/>
      <c r="O94" s="179"/>
      <c r="P94" s="224"/>
      <c r="Q94" s="455"/>
      <c r="S94" s="275"/>
      <c r="T94" s="275"/>
      <c r="U94" s="275"/>
      <c r="AJ94" s="455"/>
      <c r="AZ94" s="276"/>
      <c r="BJ94" s="226"/>
      <c r="BK94" s="226"/>
      <c r="BL94" s="226"/>
      <c r="BO94" s="179"/>
      <c r="BP94" s="226"/>
      <c r="BQ94" s="277"/>
      <c r="BR94" s="278"/>
      <c r="BS94" s="226"/>
      <c r="BT94" s="279"/>
      <c r="BX94" s="226"/>
      <c r="BY94" s="226"/>
      <c r="BZ94" s="179"/>
      <c r="CA94" s="179"/>
      <c r="CB94" s="179"/>
      <c r="CC94" s="179"/>
    </row>
    <row r="95" spans="6:81" x14ac:dyDescent="0.25">
      <c r="H95" s="177">
        <v>89</v>
      </c>
      <c r="I95" s="469">
        <f t="shared" si="25"/>
        <v>8.900000000000001E-2</v>
      </c>
      <c r="J95" s="224"/>
      <c r="K95" s="224"/>
      <c r="L95" s="224"/>
      <c r="M95" s="224"/>
      <c r="N95" s="274"/>
      <c r="O95" s="179"/>
      <c r="P95" s="224"/>
      <c r="Q95" s="455"/>
      <c r="S95" s="275"/>
      <c r="T95" s="275"/>
      <c r="U95" s="275"/>
      <c r="AJ95" s="455"/>
      <c r="AZ95" s="276"/>
      <c r="BJ95" s="226"/>
      <c r="BK95" s="226"/>
      <c r="BL95" s="226"/>
      <c r="BO95" s="179"/>
      <c r="BP95" s="226"/>
      <c r="BQ95" s="277"/>
      <c r="BR95" s="278"/>
      <c r="BS95" s="226"/>
      <c r="BT95" s="279"/>
      <c r="BX95" s="226"/>
      <c r="BY95" s="226"/>
      <c r="BZ95" s="179"/>
      <c r="CA95" s="179"/>
      <c r="CB95" s="179"/>
      <c r="CC95" s="179"/>
    </row>
    <row r="96" spans="6:81" x14ac:dyDescent="0.25">
      <c r="H96" s="177">
        <v>90</v>
      </c>
      <c r="I96" s="469">
        <f t="shared" si="25"/>
        <v>9.0000000000000011E-2</v>
      </c>
      <c r="J96" s="224"/>
      <c r="K96" s="224"/>
      <c r="L96" s="224"/>
      <c r="M96" s="224"/>
      <c r="N96" s="274"/>
      <c r="O96" s="179"/>
      <c r="P96" s="224"/>
      <c r="Q96" s="455"/>
      <c r="S96" s="275"/>
      <c r="T96" s="275"/>
      <c r="U96" s="275"/>
      <c r="AJ96" s="455"/>
      <c r="AZ96" s="276"/>
      <c r="BJ96" s="226"/>
      <c r="BK96" s="226"/>
      <c r="BL96" s="226"/>
      <c r="BO96" s="179"/>
      <c r="BP96" s="226"/>
      <c r="BQ96" s="277"/>
      <c r="BR96" s="278"/>
      <c r="BS96" s="226"/>
      <c r="BT96" s="279"/>
      <c r="BX96" s="226"/>
      <c r="BY96" s="226"/>
      <c r="BZ96" s="179"/>
      <c r="CA96" s="179"/>
      <c r="CB96" s="179"/>
      <c r="CC96" s="179"/>
    </row>
    <row r="97" spans="8:81" x14ac:dyDescent="0.25">
      <c r="H97" s="177">
        <v>91</v>
      </c>
      <c r="I97" s="469">
        <f t="shared" si="25"/>
        <v>9.1000000000000011E-2</v>
      </c>
      <c r="J97" s="224"/>
      <c r="K97" s="224"/>
      <c r="L97" s="224"/>
      <c r="M97" s="224"/>
      <c r="N97" s="274"/>
      <c r="O97" s="179"/>
      <c r="P97" s="224"/>
      <c r="Q97" s="455"/>
      <c r="S97" s="275"/>
      <c r="T97" s="275"/>
      <c r="U97" s="275"/>
      <c r="AJ97" s="455"/>
      <c r="AZ97" s="276"/>
      <c r="BJ97" s="226"/>
      <c r="BK97" s="226"/>
      <c r="BL97" s="226"/>
      <c r="BO97" s="179"/>
      <c r="BP97" s="226"/>
      <c r="BQ97" s="277"/>
      <c r="BR97" s="278"/>
      <c r="BS97" s="226"/>
      <c r="BT97" s="279"/>
      <c r="BX97" s="226"/>
      <c r="BY97" s="226"/>
      <c r="BZ97" s="179"/>
      <c r="CA97" s="179"/>
      <c r="CB97" s="179"/>
      <c r="CC97" s="179"/>
    </row>
    <row r="98" spans="8:81" x14ac:dyDescent="0.25">
      <c r="H98" s="177">
        <v>92</v>
      </c>
      <c r="I98" s="469">
        <f t="shared" si="25"/>
        <v>9.2000000000000012E-2</v>
      </c>
      <c r="J98" s="224"/>
      <c r="K98" s="224"/>
      <c r="L98" s="224"/>
      <c r="M98" s="224"/>
      <c r="N98" s="274"/>
      <c r="O98" s="179"/>
      <c r="P98" s="224"/>
      <c r="Q98" s="455"/>
      <c r="S98" s="275"/>
      <c r="T98" s="275"/>
      <c r="U98" s="275"/>
      <c r="AJ98" s="455"/>
      <c r="AZ98" s="276"/>
      <c r="BJ98" s="226"/>
      <c r="BK98" s="226"/>
      <c r="BL98" s="226"/>
      <c r="BO98" s="179"/>
      <c r="BP98" s="226"/>
      <c r="BQ98" s="277"/>
      <c r="BR98" s="278"/>
      <c r="BS98" s="226"/>
      <c r="BT98" s="279"/>
      <c r="BX98" s="226"/>
      <c r="BY98" s="226"/>
      <c r="BZ98" s="179"/>
      <c r="CA98" s="179"/>
      <c r="CB98" s="179"/>
      <c r="CC98" s="179"/>
    </row>
    <row r="99" spans="8:81" x14ac:dyDescent="0.25">
      <c r="H99" s="177">
        <v>93</v>
      </c>
      <c r="I99" s="469">
        <f t="shared" si="25"/>
        <v>9.3000000000000013E-2</v>
      </c>
      <c r="J99" s="224"/>
      <c r="K99" s="224"/>
      <c r="L99" s="224"/>
      <c r="M99" s="224"/>
      <c r="N99" s="274"/>
      <c r="O99" s="179"/>
      <c r="P99" s="224"/>
      <c r="Q99" s="455"/>
      <c r="S99" s="275"/>
      <c r="T99" s="275"/>
      <c r="U99" s="275"/>
      <c r="AJ99" s="455"/>
      <c r="AZ99" s="276"/>
      <c r="BJ99" s="226"/>
      <c r="BK99" s="226"/>
      <c r="BL99" s="226"/>
      <c r="BO99" s="179"/>
      <c r="BP99" s="226"/>
      <c r="BQ99" s="277"/>
      <c r="BR99" s="278"/>
      <c r="BS99" s="226"/>
      <c r="BT99" s="279"/>
      <c r="BX99" s="226"/>
      <c r="BY99" s="226"/>
      <c r="BZ99" s="179"/>
      <c r="CA99" s="179"/>
      <c r="CB99" s="179"/>
      <c r="CC99" s="179"/>
    </row>
    <row r="100" spans="8:81" x14ac:dyDescent="0.25">
      <c r="H100" s="177">
        <v>94</v>
      </c>
      <c r="I100" s="469">
        <f t="shared" si="25"/>
        <v>9.4E-2</v>
      </c>
      <c r="J100" s="224"/>
      <c r="K100" s="224"/>
      <c r="L100" s="224"/>
      <c r="M100" s="224"/>
      <c r="N100" s="274"/>
      <c r="O100" s="179"/>
      <c r="P100" s="224"/>
      <c r="Q100" s="455"/>
      <c r="S100" s="275"/>
      <c r="T100" s="275"/>
      <c r="U100" s="275"/>
      <c r="AJ100" s="455"/>
      <c r="AZ100" s="276"/>
      <c r="BJ100" s="226"/>
      <c r="BK100" s="226"/>
      <c r="BL100" s="226"/>
      <c r="BO100" s="179"/>
      <c r="BP100" s="226"/>
      <c r="BQ100" s="277"/>
      <c r="BR100" s="278"/>
      <c r="BS100" s="226"/>
      <c r="BT100" s="279"/>
      <c r="BX100" s="226"/>
      <c r="BY100" s="226"/>
      <c r="BZ100" s="179"/>
      <c r="CA100" s="179"/>
      <c r="CB100" s="179"/>
      <c r="CC100" s="179"/>
    </row>
    <row r="101" spans="8:81" x14ac:dyDescent="0.25">
      <c r="H101" s="177">
        <v>95</v>
      </c>
      <c r="I101" s="469">
        <f t="shared" si="25"/>
        <v>9.5000000000000001E-2</v>
      </c>
      <c r="J101" s="224"/>
      <c r="K101" s="224"/>
      <c r="L101" s="224"/>
      <c r="M101" s="224"/>
      <c r="N101" s="274"/>
      <c r="O101" s="179"/>
      <c r="P101" s="224"/>
      <c r="Q101" s="455"/>
      <c r="S101" s="275"/>
      <c r="T101" s="275"/>
      <c r="U101" s="275"/>
      <c r="AJ101" s="455"/>
      <c r="AZ101" s="276"/>
      <c r="BJ101" s="226"/>
      <c r="BK101" s="226"/>
      <c r="BL101" s="226"/>
      <c r="BO101" s="179"/>
      <c r="BP101" s="226"/>
      <c r="BQ101" s="277"/>
      <c r="BR101" s="278"/>
      <c r="BS101" s="226"/>
      <c r="BT101" s="279"/>
      <c r="BX101" s="226"/>
      <c r="BY101" s="226"/>
      <c r="BZ101" s="179"/>
      <c r="CA101" s="179"/>
      <c r="CB101" s="179"/>
      <c r="CC101" s="179"/>
    </row>
    <row r="102" spans="8:81" x14ac:dyDescent="0.25">
      <c r="H102" s="177">
        <v>96</v>
      </c>
      <c r="I102" s="469">
        <f t="shared" ref="I102:I106" si="26">IF(PLOT_TYPE=1, H102/100*Iout_max, min_I*EXP(H102*rr/100))</f>
        <v>9.6000000000000002E-2</v>
      </c>
      <c r="J102" s="224"/>
      <c r="K102" s="224"/>
      <c r="L102" s="224"/>
      <c r="M102" s="224"/>
      <c r="N102" s="274"/>
      <c r="O102" s="179"/>
      <c r="P102" s="224"/>
      <c r="Q102" s="455"/>
      <c r="S102" s="275"/>
      <c r="T102" s="275"/>
      <c r="U102" s="275"/>
      <c r="AJ102" s="455"/>
      <c r="AZ102" s="276"/>
      <c r="BJ102" s="226"/>
      <c r="BK102" s="226"/>
      <c r="BL102" s="226"/>
      <c r="BO102" s="179"/>
      <c r="BP102" s="226"/>
      <c r="BQ102" s="277"/>
      <c r="BR102" s="278"/>
      <c r="BS102" s="226"/>
      <c r="BT102" s="279"/>
      <c r="BX102" s="226"/>
      <c r="BY102" s="226"/>
      <c r="BZ102" s="179"/>
      <c r="CA102" s="179"/>
      <c r="CB102" s="179"/>
      <c r="CC102" s="179"/>
    </row>
    <row r="103" spans="8:81" x14ac:dyDescent="0.25">
      <c r="H103" s="177">
        <v>97</v>
      </c>
      <c r="I103" s="469">
        <f t="shared" si="26"/>
        <v>9.7000000000000003E-2</v>
      </c>
      <c r="J103" s="224"/>
      <c r="K103" s="224"/>
      <c r="L103" s="224"/>
      <c r="M103" s="224"/>
      <c r="N103" s="274"/>
      <c r="O103" s="179"/>
      <c r="P103" s="224"/>
      <c r="Q103" s="455"/>
      <c r="S103" s="275"/>
      <c r="T103" s="275"/>
      <c r="U103" s="275"/>
      <c r="AJ103" s="455"/>
      <c r="AZ103" s="276"/>
      <c r="BJ103" s="226"/>
      <c r="BK103" s="226"/>
      <c r="BL103" s="226"/>
      <c r="BO103" s="179"/>
      <c r="BP103" s="226"/>
      <c r="BQ103" s="277"/>
      <c r="BR103" s="278"/>
      <c r="BS103" s="226"/>
      <c r="BT103" s="279"/>
      <c r="BX103" s="226"/>
      <c r="BY103" s="226"/>
      <c r="BZ103" s="179"/>
      <c r="CA103" s="179"/>
      <c r="CB103" s="179"/>
      <c r="CC103" s="179"/>
    </row>
    <row r="104" spans="8:81" x14ac:dyDescent="0.25">
      <c r="H104" s="177">
        <v>98</v>
      </c>
      <c r="I104" s="469">
        <f t="shared" si="26"/>
        <v>9.8000000000000004E-2</v>
      </c>
      <c r="J104" s="224"/>
      <c r="K104" s="224"/>
      <c r="L104" s="224"/>
      <c r="M104" s="224"/>
      <c r="N104" s="274"/>
      <c r="O104" s="179"/>
      <c r="P104" s="224"/>
      <c r="Q104" s="455"/>
      <c r="S104" s="275"/>
      <c r="T104" s="275"/>
      <c r="U104" s="275"/>
      <c r="AJ104" s="455"/>
      <c r="AZ104" s="276"/>
      <c r="BJ104" s="226"/>
      <c r="BK104" s="226"/>
      <c r="BL104" s="226"/>
      <c r="BO104" s="179"/>
      <c r="BP104" s="226"/>
      <c r="BQ104" s="277"/>
      <c r="BR104" s="278"/>
      <c r="BS104" s="226"/>
      <c r="BT104" s="279"/>
      <c r="BX104" s="226"/>
      <c r="BY104" s="226"/>
      <c r="BZ104" s="179"/>
      <c r="CA104" s="179"/>
      <c r="CB104" s="179"/>
      <c r="CC104" s="179"/>
    </row>
    <row r="105" spans="8:81" x14ac:dyDescent="0.25">
      <c r="H105" s="177">
        <v>99</v>
      </c>
      <c r="I105" s="469">
        <f t="shared" si="26"/>
        <v>9.9000000000000005E-2</v>
      </c>
      <c r="J105" s="224"/>
      <c r="K105" s="224"/>
      <c r="L105" s="224"/>
      <c r="M105" s="224"/>
      <c r="N105" s="274"/>
      <c r="O105" s="179"/>
      <c r="P105" s="224"/>
      <c r="Q105" s="455"/>
      <c r="S105" s="275"/>
      <c r="T105" s="275"/>
      <c r="U105" s="275"/>
      <c r="AJ105" s="455"/>
      <c r="AZ105" s="276"/>
      <c r="BJ105" s="226"/>
      <c r="BK105" s="226"/>
      <c r="BL105" s="226"/>
      <c r="BO105" s="179"/>
      <c r="BP105" s="226"/>
      <c r="BQ105" s="277"/>
      <c r="BR105" s="278"/>
      <c r="BS105" s="226"/>
      <c r="BT105" s="279"/>
      <c r="BX105" s="226"/>
      <c r="BY105" s="226"/>
      <c r="BZ105" s="179"/>
      <c r="CA105" s="179"/>
      <c r="CB105" s="179"/>
      <c r="CC105" s="179"/>
    </row>
    <row r="106" spans="8:81" x14ac:dyDescent="0.25">
      <c r="H106" s="177">
        <v>100</v>
      </c>
      <c r="I106" s="469">
        <f t="shared" si="26"/>
        <v>0.1</v>
      </c>
      <c r="J106" s="224"/>
      <c r="K106" s="224"/>
      <c r="L106" s="224"/>
      <c r="M106" s="224"/>
      <c r="N106" s="274"/>
      <c r="O106" s="179"/>
      <c r="P106" s="224"/>
      <c r="Q106" s="455"/>
      <c r="S106" s="275"/>
      <c r="T106" s="275"/>
      <c r="U106" s="275"/>
      <c r="AJ106" s="455"/>
      <c r="AY106" s="223">
        <f>Vout*I106</f>
        <v>0.63</v>
      </c>
      <c r="AZ106" s="276">
        <f t="shared" ref="AZ106" si="27">AY106/(AY106+AX106)</f>
        <v>1</v>
      </c>
      <c r="BA106" s="352">
        <f t="shared" ref="BA106" si="28">AG106/($AY106+$AX106)</f>
        <v>0</v>
      </c>
      <c r="BB106" s="352">
        <f t="shared" ref="BB106" si="29">AO106/($AY106+$AX106)</f>
        <v>0</v>
      </c>
      <c r="BC106" s="352" t="e">
        <f t="shared" ref="BC106" si="30">Vin*R106*(QgBot+Qg)/($AY106+$AX106)</f>
        <v>#NAME?</v>
      </c>
      <c r="BD106" s="352">
        <f t="shared" ref="BD106" si="31">AK106/($AY106+$AX106)</f>
        <v>0</v>
      </c>
      <c r="BE106" s="352">
        <f t="shared" ref="BE106" si="32">AQ106/(AX106+AY106)</f>
        <v>0</v>
      </c>
      <c r="BF106" s="352">
        <f t="shared" ref="BF106" si="33">AR106/($AY106+$AX106)</f>
        <v>0</v>
      </c>
      <c r="BG106" s="352">
        <f t="shared" ref="BG106" si="34">W106/($AY106+$AX106)</f>
        <v>0</v>
      </c>
      <c r="BH106" s="352">
        <f t="shared" ref="BH106" si="35">X106/($AY106+$AX106)</f>
        <v>0</v>
      </c>
      <c r="BI106" s="352">
        <f t="shared" ref="BI106" si="36">(AB106+AE106)/($AY106+$AX106)</f>
        <v>0</v>
      </c>
      <c r="BJ106" s="226">
        <f t="shared" ref="BJ106" si="37">AT106/($AY106+$AX106)</f>
        <v>0</v>
      </c>
      <c r="BK106" s="226">
        <f t="shared" ref="BK106" si="38">AX106/($AY106+$AX106)</f>
        <v>0</v>
      </c>
      <c r="BL106" s="226">
        <f t="shared" ref="BL106" si="39">AZ106</f>
        <v>1</v>
      </c>
      <c r="BM106" s="179">
        <f t="shared" ref="BM106" si="40">100*BL106</f>
        <v>100</v>
      </c>
      <c r="BN106" s="224" t="e">
        <f xml:space="preserve"> CHOOSE(MODE, I106*1000,#REF!)</f>
        <v>#REF!</v>
      </c>
      <c r="BO106" s="179">
        <v>88.698181382326453</v>
      </c>
      <c r="BP106" s="226">
        <f t="shared" ref="BP106" si="41">BO106/100</f>
        <v>0.88698181382326458</v>
      </c>
      <c r="BQ106" s="277">
        <f t="shared" ref="BQ106" si="42">R106/1000</f>
        <v>0</v>
      </c>
      <c r="BR106" s="278"/>
      <c r="BS106" s="226">
        <f t="shared" ref="BS106" si="43">AL106/($AY106+$AX106)</f>
        <v>0</v>
      </c>
      <c r="BT106" s="279"/>
      <c r="BU106" s="179">
        <f t="shared" ref="BU106" si="44">1000*AW106</f>
        <v>0</v>
      </c>
      <c r="BV106" s="179">
        <f t="shared" ref="BV106" si="45">1000*AU106</f>
        <v>0</v>
      </c>
      <c r="BW106" s="179">
        <f t="shared" ref="BW106" si="46">1000*Y106</f>
        <v>0</v>
      </c>
      <c r="BX106" s="226"/>
      <c r="BY106" s="226"/>
      <c r="BZ106" s="179" t="e">
        <f xml:space="preserve"> IF(MODE=1, BM106,#REF!)</f>
        <v>#REF!</v>
      </c>
      <c r="CA106" s="179" t="e">
        <f xml:space="preserve"> IF(MODE=1, BU106,#REF!)</f>
        <v>#REF!</v>
      </c>
      <c r="CB106" s="179" t="e">
        <f xml:space="preserve"> IF(MODE=1, BV106,#REF!)</f>
        <v>#REF!</v>
      </c>
      <c r="CC106" s="179" t="e">
        <f xml:space="preserve"> IF(MODE=1, BW106,#REF!)</f>
        <v>#REF!</v>
      </c>
    </row>
    <row r="107" spans="8:81" x14ac:dyDescent="0.25">
      <c r="BQ107" s="277"/>
      <c r="BR107" s="278"/>
      <c r="BS107" s="278"/>
      <c r="BT107" s="279"/>
      <c r="BX107" s="226"/>
      <c r="BY107" s="226"/>
    </row>
    <row r="108" spans="8:81" x14ac:dyDescent="0.25">
      <c r="H108" s="335">
        <v>1.0000000000000001E-5</v>
      </c>
      <c r="I108" s="336" t="s">
        <v>1</v>
      </c>
      <c r="J108" s="337" t="s">
        <v>277</v>
      </c>
      <c r="AG108" s="223">
        <v>4.9516878778202269E-3</v>
      </c>
      <c r="AH108" s="223">
        <v>3.7188236700537959E-3</v>
      </c>
      <c r="AI108">
        <v>20</v>
      </c>
      <c r="AJ108" s="223">
        <v>18.943591787921068</v>
      </c>
      <c r="AK108" s="223">
        <v>4.1453367485397245E-3</v>
      </c>
      <c r="AL108" s="223">
        <v>7.1640215182307235E-3</v>
      </c>
      <c r="AN108" s="223">
        <v>9.1940431932401354E-2</v>
      </c>
      <c r="AO108" s="223">
        <v>8.4530430239165271E-3</v>
      </c>
      <c r="AP108" s="223">
        <v>9.3281530185295868E-4</v>
      </c>
      <c r="AQ108" s="223">
        <v>9.1178757202630047E-3</v>
      </c>
      <c r="AR108" s="223">
        <v>1.2140752334887425E-3</v>
      </c>
      <c r="AS108" s="223">
        <v>1.8784993977668273E-2</v>
      </c>
      <c r="AZ108" s="339" t="s">
        <v>281</v>
      </c>
      <c r="BA108" s="359">
        <v>3.6409104085968987E-3</v>
      </c>
      <c r="BB108" s="359">
        <v>6.5692245841190103E-3</v>
      </c>
      <c r="BC108" s="359">
        <v>5.4394694205683519E-2</v>
      </c>
      <c r="BD108" s="359">
        <v>4.5907837520612008E-3</v>
      </c>
      <c r="BE108" s="359">
        <v>0</v>
      </c>
      <c r="BF108" s="359">
        <v>7.3751579484765363E-4</v>
      </c>
      <c r="BG108" s="359">
        <v>7.2151246180390156E-3</v>
      </c>
      <c r="BH108" s="359">
        <v>1.4929120352630757E-2</v>
      </c>
      <c r="BI108" s="359">
        <v>5.5024434421027814E-6</v>
      </c>
      <c r="BJ108" s="359">
        <v>8.2551506228875166E-2</v>
      </c>
    </row>
    <row r="109" spans="8:81" x14ac:dyDescent="0.25">
      <c r="H109" s="338">
        <f>Iout_max</f>
        <v>0.1</v>
      </c>
      <c r="I109" s="336" t="s">
        <v>1</v>
      </c>
      <c r="J109" s="337" t="s">
        <v>278</v>
      </c>
      <c r="AZ109" s="339" t="s">
        <v>279</v>
      </c>
      <c r="BA109" s="359">
        <v>8.1000709018000279E-3</v>
      </c>
      <c r="BB109" s="359">
        <v>1.4614802049391215E-2</v>
      </c>
      <c r="BC109" s="359">
        <v>2.4831534664325892E-2</v>
      </c>
      <c r="BD109" s="359">
        <v>9.9057039827182662E-3</v>
      </c>
      <c r="BE109" s="359">
        <v>1.1631608311305648E-2</v>
      </c>
      <c r="BF109" s="359">
        <v>1.6465542803473395E-3</v>
      </c>
      <c r="BG109" s="359">
        <v>1.6051760250250457E-2</v>
      </c>
      <c r="BH109" s="359">
        <v>6.8152413568584669E-3</v>
      </c>
      <c r="BI109" s="359">
        <v>1.7517781122613987E-5</v>
      </c>
      <c r="BJ109" s="359">
        <v>1.2837829865088564E-2</v>
      </c>
    </row>
    <row r="110" spans="8:81" x14ac:dyDescent="0.25">
      <c r="H110" s="338">
        <f>LOG(max_I/min_I,EXP(1))</f>
        <v>9.2103403719761836</v>
      </c>
      <c r="I110" s="224"/>
      <c r="J110" s="337" t="s">
        <v>280</v>
      </c>
    </row>
    <row r="111" spans="8:81" x14ac:dyDescent="0.25">
      <c r="AZ111" s="339"/>
      <c r="BA111" s="359"/>
      <c r="BB111" s="359"/>
      <c r="BC111" s="359"/>
      <c r="BD111" s="359"/>
      <c r="BE111" s="359"/>
      <c r="BF111" s="359"/>
      <c r="BG111" s="359"/>
      <c r="BH111" s="359"/>
      <c r="BI111" s="359"/>
      <c r="BJ111" s="359"/>
    </row>
    <row r="112" spans="8:81" x14ac:dyDescent="0.25">
      <c r="J112" s="341"/>
      <c r="R112" s="342"/>
      <c r="S112" s="342"/>
      <c r="T112" s="342"/>
      <c r="U112" s="342"/>
      <c r="V112" s="343"/>
    </row>
    <row r="113" spans="10:22" x14ac:dyDescent="0.25">
      <c r="J113" s="341"/>
      <c r="R113" s="342"/>
      <c r="S113" s="342"/>
      <c r="T113" s="342"/>
      <c r="U113" s="342"/>
      <c r="V113" s="343"/>
    </row>
    <row r="114" spans="10:22" x14ac:dyDescent="0.25">
      <c r="R114" s="344"/>
      <c r="S114" s="344"/>
      <c r="T114" s="344"/>
      <c r="U114" s="344"/>
      <c r="V114" s="343"/>
    </row>
    <row r="116" spans="10:22" x14ac:dyDescent="0.25">
      <c r="R116" s="344"/>
      <c r="S116" s="344"/>
      <c r="T116" s="344"/>
      <c r="U116" s="344"/>
      <c r="V116" s="343"/>
    </row>
    <row r="121" spans="10:22" x14ac:dyDescent="0.25">
      <c r="V121" s="337"/>
    </row>
    <row r="122" spans="10:22" x14ac:dyDescent="0.25">
      <c r="O122" s="337"/>
      <c r="P122" s="337"/>
      <c r="Q122" s="337"/>
    </row>
    <row r="123" spans="10:22" x14ac:dyDescent="0.25">
      <c r="O123" s="337"/>
      <c r="P123" s="337"/>
      <c r="Q123" s="337"/>
    </row>
    <row r="124" spans="10:22" x14ac:dyDescent="0.25">
      <c r="O124" s="337"/>
      <c r="P124" s="337"/>
      <c r="Q124" s="337"/>
    </row>
    <row r="125" spans="10:22" x14ac:dyDescent="0.25">
      <c r="O125" s="337"/>
      <c r="P125" s="337"/>
      <c r="Q125" s="337"/>
    </row>
    <row r="126" spans="10:22" x14ac:dyDescent="0.25">
      <c r="J126" s="345"/>
      <c r="O126" s="337"/>
      <c r="P126" s="337"/>
      <c r="Q126" s="337"/>
    </row>
    <row r="127" spans="10:22" x14ac:dyDescent="0.25">
      <c r="J127" s="345"/>
      <c r="O127" s="337"/>
      <c r="P127" s="337"/>
      <c r="Q127" s="337"/>
    </row>
    <row r="128" spans="10:22" x14ac:dyDescent="0.25">
      <c r="J128" s="345"/>
      <c r="O128" s="337"/>
      <c r="P128" s="337"/>
      <c r="Q128" s="337"/>
    </row>
    <row r="129" spans="10:17" x14ac:dyDescent="0.25">
      <c r="J129" s="336"/>
      <c r="O129" s="337"/>
      <c r="P129" s="337"/>
      <c r="Q129" s="337"/>
    </row>
    <row r="130" spans="10:17" x14ac:dyDescent="0.25">
      <c r="J130" s="336"/>
    </row>
    <row r="131" spans="10:17" x14ac:dyDescent="0.25">
      <c r="J131" s="336"/>
    </row>
    <row r="132" spans="10:17" x14ac:dyDescent="0.25">
      <c r="J132" s="336"/>
    </row>
    <row r="133" spans="10:17" x14ac:dyDescent="0.25">
      <c r="J133" s="336"/>
    </row>
  </sheetData>
  <mergeCells count="4">
    <mergeCell ref="A1:E3"/>
    <mergeCell ref="G2:H2"/>
    <mergeCell ref="A4:E4"/>
    <mergeCell ref="K4:U4"/>
  </mergeCells>
  <conditionalFormatting sqref="B26:B28">
    <cfRule type="cellIs" dxfId="9" priority="8" stopIfTrue="1" operator="notEqual">
      <formula>G28</formula>
    </cfRule>
  </conditionalFormatting>
  <conditionalFormatting sqref="B30:B33 B37:B38">
    <cfRule type="cellIs" dxfId="8" priority="6" stopIfTrue="1" operator="notEqual">
      <formula>G36</formula>
    </cfRule>
  </conditionalFormatting>
  <conditionalFormatting sqref="B35:B36">
    <cfRule type="cellIs" dxfId="7" priority="5" stopIfTrue="1" operator="notEqual">
      <formula>G42</formula>
    </cfRule>
  </conditionalFormatting>
  <conditionalFormatting sqref="B40:B41">
    <cfRule type="cellIs" dxfId="6" priority="4" stopIfTrue="1" operator="notEqual">
      <formula>G53</formula>
    </cfRule>
  </conditionalFormatting>
  <conditionalFormatting sqref="B48:B51">
    <cfRule type="cellIs" dxfId="5" priority="9" stopIfTrue="1" operator="notEqual">
      <formula>G70</formula>
    </cfRule>
  </conditionalFormatting>
  <conditionalFormatting sqref="B46:B47">
    <cfRule type="cellIs" dxfId="4" priority="12" stopIfTrue="1" operator="notEqual">
      <formula>G68</formula>
    </cfRule>
  </conditionalFormatting>
  <conditionalFormatting sqref="B42:B43">
    <cfRule type="cellIs" dxfId="3" priority="13" stopIfTrue="1" operator="notEqual">
      <formula>G55</formula>
    </cfRule>
  </conditionalFormatting>
  <conditionalFormatting sqref="B44">
    <cfRule type="cellIs" dxfId="2" priority="2" stopIfTrue="1" operator="notEqual">
      <formula>G66</formula>
    </cfRule>
  </conditionalFormatting>
  <conditionalFormatting sqref="B29">
    <cfRule type="cellIs" dxfId="1" priority="145" stopIfTrue="1" operator="notEqual">
      <formula>G30</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unlockedFormula="1"/>
    <ignoredError sqref="D11"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182880</xdr:colOff>
                <xdr:row>111</xdr:row>
                <xdr:rowOff>144780</xdr:rowOff>
              </from>
              <to>
                <xdr:col>36</xdr:col>
                <xdr:colOff>7620</xdr:colOff>
                <xdr:row>125</xdr:row>
                <xdr:rowOff>144780</xdr:rowOff>
              </to>
            </anchor>
          </objectPr>
        </oleObject>
      </mc:Choice>
      <mc:Fallback>
        <oleObject progId="Visio.Drawing.11" shapeId="6830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B7"/>
  <sheetViews>
    <sheetView zoomScaleNormal="100" workbookViewId="0">
      <selection activeCell="H7" sqref="H7"/>
    </sheetView>
  </sheetViews>
  <sheetFormatPr defaultRowHeight="13.2" x14ac:dyDescent="0.25"/>
  <cols>
    <col min="2" max="2" width="126.44140625" customWidth="1"/>
  </cols>
  <sheetData>
    <row r="2" spans="1:2" ht="17.25" customHeight="1" x14ac:dyDescent="0.25">
      <c r="A2" s="77" t="str">
        <f>CHOOSE(MODE, "EFF_SINGLE", "EFF_DUAL")</f>
        <v>EFF_DUAL</v>
      </c>
    </row>
    <row r="5" spans="1:2" ht="409.5" customHeight="1" x14ac:dyDescent="0.25">
      <c r="B5" s="367"/>
    </row>
    <row r="6" spans="1:2" ht="17.100000000000001" customHeight="1" x14ac:dyDescent="0.25"/>
    <row r="7" spans="1:2" ht="409.5" customHeight="1" x14ac:dyDescent="0.25">
      <c r="B7" s="367"/>
    </row>
  </sheetData>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161</vt:i4>
      </vt:variant>
    </vt:vector>
  </HeadingPairs>
  <TitlesOfParts>
    <vt:vector size="173" baseType="lpstr">
      <vt:lpstr>Design Converter</vt:lpstr>
      <vt:lpstr>BOM &amp; Schematic</vt:lpstr>
      <vt:lpstr>EVMs</vt:lpstr>
      <vt:lpstr>Variable Mgmt</vt:lpstr>
      <vt:lpstr>Calculations - Single</vt:lpstr>
      <vt:lpstr>Calculations - Dual</vt:lpstr>
      <vt:lpstr>Fsw vs VIN</vt:lpstr>
      <vt:lpstr>Parameters</vt:lpstr>
      <vt:lpstr>Efficiency Plots</vt:lpstr>
      <vt:lpstr>Fsw Plots</vt:lpstr>
      <vt:lpstr>Schematic Mgmt</vt:lpstr>
      <vt:lpstr>Standard Value Calculator</vt:lpstr>
      <vt:lpstr>_Don1</vt:lpstr>
      <vt:lpstr>BDserR</vt:lpstr>
      <vt:lpstr>Cb</vt:lpstr>
      <vt:lpstr>Parameters!Cin</vt:lpstr>
      <vt:lpstr>Cin</vt:lpstr>
      <vt:lpstr>CinEsrMax</vt:lpstr>
      <vt:lpstr>Cinmin</vt:lpstr>
      <vt:lpstr>CONFIG</vt:lpstr>
      <vt:lpstr>Coss</vt:lpstr>
      <vt:lpstr>Parameters!Cout</vt:lpstr>
      <vt:lpstr>Cout</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Parameters!Fsw</vt:lpstr>
      <vt:lpstr>Fsw_DCM</vt:lpstr>
      <vt:lpstr>Fsw_DUAL</vt:lpstr>
      <vt:lpstr>Fsw_max</vt:lpstr>
      <vt:lpstr>Fsw_SINGLE</vt:lpstr>
      <vt:lpstr>Icinrms</vt:lpstr>
      <vt:lpstr>Icoutrms</vt:lpstr>
      <vt:lpstr>Iin_Vinmax</vt:lpstr>
      <vt:lpstr>Iin_Vinmin</vt:lpstr>
      <vt:lpstr>Iin_Vinnom</vt:lpstr>
      <vt:lpstr>Iout</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IQ</vt:lpstr>
      <vt:lpstr>Iripple</vt:lpstr>
      <vt:lpstr>Iss</vt:lpstr>
      <vt:lpstr>Isw_max</vt:lpstr>
      <vt:lpstr>Isw_min</vt:lpstr>
      <vt:lpstr>Iuvlo_hys</vt:lpstr>
      <vt:lpstr>Iuvlo1</vt:lpstr>
      <vt:lpstr>Iuvlo2</vt:lpstr>
      <vt:lpstr>k_core</vt:lpstr>
      <vt:lpstr>L</vt:lpstr>
      <vt:lpstr>Lf</vt:lpstr>
      <vt:lpstr>Lleak</vt:lpstr>
      <vt:lpstr>Lmin</vt:lpstr>
      <vt:lpstr>Ltc</vt:lpstr>
      <vt:lpstr>max_I</vt:lpstr>
      <vt:lpstr>min_I</vt:lpstr>
      <vt:lpstr>MODE</vt:lpstr>
      <vt:lpstr>MODE_SS</vt:lpstr>
      <vt:lpstr>MODE_TC</vt:lpstr>
      <vt:lpstr>MODE_TOP</vt:lpstr>
      <vt:lpstr>MODE_UVLO</vt:lpstr>
      <vt:lpstr>Npri_sec1</vt:lpstr>
      <vt:lpstr>Npri_sec2</vt:lpstr>
      <vt:lpstr>Nps</vt:lpstr>
      <vt:lpstr>Nsec1sec2</vt:lpstr>
      <vt:lpstr>OffTime</vt:lpstr>
      <vt:lpstr>OnTime</vt:lpstr>
      <vt:lpstr>Pi</vt:lpstr>
      <vt:lpstr>Pin</vt:lpstr>
      <vt:lpstr>PLOT_TYPE</vt:lpstr>
      <vt:lpstr>Pout</vt:lpstr>
      <vt:lpstr>Pout_total</vt:lpstr>
      <vt:lpstr>Pout2</vt:lpstr>
      <vt:lpstr>'BOM &amp; Schematic'!Print_Area</vt:lpstr>
      <vt:lpstr>'Design Converter'!Print_Area</vt:lpstr>
      <vt:lpstr>Qg</vt:lpstr>
      <vt:lpstr>Parameters!RCinEsr</vt:lpstr>
      <vt:lpstr>RCinEsr</vt:lpstr>
      <vt:lpstr>Parameters!RCoutEsr</vt:lpstr>
      <vt:lpstr>RCoutEsr</vt:lpstr>
      <vt:lpstr>Rdcr_pri</vt:lpstr>
      <vt:lpstr>Rdcr_sec</vt:lpstr>
      <vt:lpstr>Rdcr_sec2</vt:lpstr>
      <vt:lpstr>Rdson</vt:lpstr>
      <vt:lpstr>Rfb</vt:lpstr>
      <vt:lpstr>Rfb_recommend</vt:lpstr>
      <vt:lpstr>Rfb2_u</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TL</vt:lpstr>
      <vt:lpstr>Toff_Vinmax</vt:lpstr>
      <vt:lpstr>Ton_Vinmin</vt:lpstr>
      <vt:lpstr>Trise</vt:lpstr>
      <vt:lpstr>TrrBot</vt:lpstr>
      <vt:lpstr>Tss</vt:lpstr>
      <vt:lpstr>Turns_Ratio</vt:lpstr>
      <vt:lpstr>Turns_Ratio2</vt:lpstr>
      <vt:lpstr>Vdd</vt:lpstr>
      <vt:lpstr>Vfwd1</vt:lpstr>
      <vt:lpstr>Vfwd2</vt:lpstr>
      <vt:lpstr>Vin</vt:lpstr>
      <vt:lpstr>VIN_max</vt:lpstr>
      <vt:lpstr>VIN_min</vt:lpstr>
      <vt:lpstr>VIN_nom</vt:lpstr>
      <vt:lpstr>Vinripple1</vt:lpstr>
      <vt:lpstr>Vinripple2</vt:lpstr>
      <vt:lpstr>VINuvlo_off</vt:lpstr>
      <vt:lpstr>VINuvlo_on</vt:lpstr>
      <vt:lpstr>Vout</vt:lpstr>
      <vt:lpstr>Vout_ripple</vt:lpstr>
      <vt:lpstr>Vout_ripple2</vt:lpstr>
      <vt:lpstr>Vout2</vt:lpstr>
      <vt:lpstr>Vout2_actual</vt:lpstr>
      <vt:lpstr>Vref</vt:lpstr>
      <vt:lpstr>Vripple1_actual</vt:lpstr>
      <vt:lpstr>Vripple1_spec</vt:lpstr>
      <vt:lpstr>Vripple2_actual</vt:lpstr>
      <vt:lpstr>Vripple2_spec</vt:lpstr>
      <vt:lpstr>VRRM_DIODE</vt:lpstr>
      <vt:lpstr>Vuvlo_hys</vt:lpstr>
      <vt:lpstr>Vuvlo_off</vt:lpstr>
      <vt:lpstr>Vuvlo_on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Jahoda</cp:lastModifiedBy>
  <cp:lastPrinted>2016-03-02T21:18:53Z</cp:lastPrinted>
  <dcterms:created xsi:type="dcterms:W3CDTF">1996-10-14T23:33:28Z</dcterms:created>
  <dcterms:modified xsi:type="dcterms:W3CDTF">2020-12-07T23:02:45Z</dcterms:modified>
</cp:coreProperties>
</file>